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V7" i="5"/>
  <c r="V8" i="5"/>
  <c r="V9" i="5"/>
  <c r="V11" i="5"/>
  <c r="R11" i="5" s="1"/>
  <c r="V12" i="5"/>
  <c r="V13" i="5"/>
  <c r="V15" i="5"/>
  <c r="V16" i="5"/>
  <c r="V17" i="5"/>
  <c r="V19" i="5"/>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c r="B50" i="6"/>
  <c r="G50" i="6" s="1"/>
  <c r="H14" i="6"/>
  <c r="H61" i="4"/>
  <c r="B86" i="4"/>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B43" i="6" l="1"/>
  <c r="B33" i="6"/>
  <c r="B28" i="6"/>
  <c r="B23" i="6"/>
  <c r="B38" i="6" s="1"/>
  <c r="B48" i="6"/>
  <c r="F23" i="6"/>
  <c r="B21" i="6"/>
  <c r="B31" i="6" s="1"/>
  <c r="F21" i="6"/>
  <c r="B20" i="6"/>
  <c r="B35" i="6" s="1"/>
  <c r="G23" i="6"/>
  <c r="F20" i="6"/>
  <c r="F22" i="6"/>
  <c r="G22" i="6"/>
  <c r="G18" i="6"/>
  <c r="H18" i="6" s="1"/>
  <c r="D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R14" i="5" s="1"/>
  <c r="V10" i="5"/>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R13" i="5"/>
  <c r="X13" i="5"/>
  <c r="X5" i="5"/>
  <c r="R5" i="5"/>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X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H2433" i="5"/>
  <c r="I1637" i="5"/>
  <c r="I127" i="5"/>
  <c r="H1173" i="5"/>
  <c r="E1377" i="5"/>
  <c r="X1377" i="5" s="1"/>
  <c r="E183" i="5"/>
  <c r="X183" i="5" s="1"/>
  <c r="F657" i="5"/>
  <c r="F793" i="5"/>
  <c r="F399" i="5"/>
  <c r="H1573" i="5"/>
  <c r="R2257" i="5"/>
  <c r="J937" i="5"/>
  <c r="G1445"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X19" i="5"/>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E35" i="5"/>
  <c r="X35" i="5" s="1"/>
  <c r="J91" i="5"/>
  <c r="H467" i="5"/>
  <c r="G385" i="5"/>
  <c r="R27"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X16" i="5"/>
  <c r="R16" i="5"/>
  <c r="X14" i="5"/>
  <c r="R10" i="5"/>
  <c r="X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T1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1" i="5"/>
  <c r="S7" i="5"/>
  <c r="T9" i="5"/>
  <c r="T7" i="5"/>
  <c r="T12" i="5"/>
  <c r="S8" i="5"/>
  <c r="S11" i="5"/>
  <c r="S9" i="5"/>
  <c r="T15" i="5"/>
  <c r="S10" i="5"/>
  <c r="T16" i="5"/>
  <c r="T13" i="5"/>
  <c r="S13" i="5"/>
  <c r="T8" i="5"/>
  <c r="T10" i="5"/>
  <c r="S14" i="5"/>
  <c r="T14" i="5"/>
  <c r="T17" i="5"/>
  <c r="S15" i="5"/>
  <c r="S12" i="5"/>
  <c r="S5" i="5"/>
  <c r="T5" i="5"/>
  <c r="S6" i="5"/>
  <c r="T19" i="5"/>
  <c r="S18" i="5"/>
  <c r="T6" i="5"/>
  <c r="S17" i="5"/>
  <c r="S16" i="5"/>
  <c r="H23" i="6" l="1"/>
  <c r="D23" i="6" s="1"/>
  <c r="C13" i="6"/>
  <c r="C12" i="6"/>
  <c r="C11" i="6"/>
  <c r="C5" i="6"/>
  <c r="C10" i="6"/>
  <c r="C9" i="6"/>
  <c r="C4" i="6"/>
  <c r="C8" i="6"/>
  <c r="C7"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63" i="6" s="1"/>
  <c r="B30" i="6"/>
  <c r="G30" i="6" s="1"/>
  <c r="B41" i="6"/>
  <c r="G41" i="6" s="1"/>
  <c r="G21" i="6"/>
  <c r="H21" i="6" s="1"/>
  <c r="B26" i="6"/>
  <c r="G26" i="6" s="1"/>
  <c r="H26" i="6" s="1"/>
  <c r="C26" i="6" s="1"/>
  <c r="B36" i="6"/>
  <c r="B46" i="6"/>
  <c r="G46" i="6" s="1"/>
  <c r="G31" i="6"/>
  <c r="H22" i="6"/>
  <c r="D22" i="6" s="1"/>
  <c r="G47" i="6"/>
  <c r="G42" i="6"/>
  <c r="K65" i="6"/>
  <c r="C65" i="6" s="1"/>
  <c r="G27" i="6"/>
  <c r="H27" i="6" s="1"/>
  <c r="G32" i="6"/>
  <c r="G45" i="6"/>
  <c r="G43" i="6"/>
  <c r="G38" i="6"/>
  <c r="G35" i="6"/>
  <c r="G28" i="6"/>
  <c r="G33" i="6"/>
  <c r="G37" i="6"/>
  <c r="G25" i="6"/>
  <c r="H25" i="6" s="1"/>
  <c r="D25" i="6" s="1"/>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5" i="6"/>
  <c r="F41" i="6" l="1"/>
  <c r="H41" i="6"/>
  <c r="C41" i="6" s="1"/>
  <c r="K64" i="6"/>
  <c r="C64" i="6" s="1"/>
  <c r="H47" i="6"/>
  <c r="G36" i="6"/>
  <c r="F36" i="6"/>
  <c r="F50" i="6"/>
  <c r="F51" i="6" s="1"/>
  <c r="D20" i="6"/>
  <c r="K62" i="6"/>
  <c r="C62" i="6" s="1"/>
  <c r="F45" i="6"/>
  <c r="H45" i="6" s="1"/>
  <c r="F62" i="6"/>
  <c r="B2" i="6" s="1"/>
  <c r="F40" i="6"/>
  <c r="H40" i="6" s="1"/>
  <c r="D40" i="6" s="1"/>
  <c r="F35" i="6"/>
  <c r="H35" i="6" s="1"/>
  <c r="D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1" i="5"/>
  <c r="C27" i="6"/>
  <c r="D27" i="6"/>
  <c r="F56" i="6"/>
  <c r="H56" i="6" s="1"/>
  <c r="C61" i="6"/>
  <c r="D61" i="6"/>
  <c r="C37" i="6"/>
  <c r="D37" i="6"/>
  <c r="D47" i="6"/>
  <c r="C47" i="6"/>
  <c r="F60" i="6" l="1"/>
  <c r="H60" i="6" s="1"/>
  <c r="C60" i="6" s="1"/>
  <c r="F54" i="6"/>
  <c r="H54" i="6" s="1"/>
  <c r="C54" i="6" s="1"/>
  <c r="D41" i="6"/>
  <c r="F59" i="6"/>
  <c r="H59" i="6" s="1"/>
  <c r="D59" i="6" s="1"/>
  <c r="H36" i="6"/>
  <c r="H50" i="6"/>
  <c r="C50" i="6" s="1"/>
  <c r="F58" i="6"/>
  <c r="H58" i="6" s="1"/>
  <c r="D32" i="6"/>
  <c r="F53" i="6"/>
  <c r="H53" i="6" s="1"/>
  <c r="D53" i="6" s="1"/>
  <c r="F55" i="6"/>
  <c r="H55" i="6" s="1"/>
  <c r="D55" i="6" s="1"/>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D60" i="6"/>
  <c r="C55" i="6"/>
  <c r="H51" i="6"/>
  <c r="F52" i="6"/>
  <c r="H52" i="6" s="1"/>
  <c r="C63" i="6" l="1"/>
  <c r="C59" i="6"/>
  <c r="D50" i="6"/>
  <c r="C36" i="6"/>
  <c r="D36" i="6"/>
  <c r="C5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<sst xmlns="http://schemas.openxmlformats.org/spreadsheetml/2006/main" count="21748" uniqueCount="15441">
  <si>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</si>
  <si>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</si>
  <si>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</si>
  <si>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</si>
  <si>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</si>
  <si>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</si>
  <si>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</si>
  <si>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</si>
  <si>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</si>
  <si>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</si>
  <si>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</si>
  <si>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</si>
  <si>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</si>
  <si>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</si>
  <si>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</si>
  <si>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</si>
  <si>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</si>
  <si>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</si>
  <si>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</si>
  <si>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</si>
  <si>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</si>
  <si>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</si>
  <si>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</si>
  <si>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</si>
  <si>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</si>
  <si>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</si>
  <si>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</si>
  <si>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</si>
  <si>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</si>
  <si>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</si>
  <si>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</si>
  <si>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</si>
  <si>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</si>
  <si>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</si>
  <si>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</si>
  <si>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</si>
  <si>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</si>
  <si>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</si>
  <si>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</si>
  <si>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</si>
  <si>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</si>
  <si>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</si>
  <si>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</si>
  <si>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</si>
  <si>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</si>
  <si>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</si>
  <si>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</si>
  <si>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</si>
  <si>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</si>
  <si>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</si>
  <si>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</si>
  <si>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</si>
  <si>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</si>
  <si>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</si>
  <si>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</si>
  <si>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</si>
  <si>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</si>
  <si>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</si>
  <si>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</si>
  <si>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</si>
  <si>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</si>
  <si>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</si>
  <si>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</si>
  <si>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</si>
  <si>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</si>
  <si>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</si>
  <si>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</si>
  <si>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</si>
  <si>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</si>
  <si>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</si>
  <si>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</si>
  <si>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</si>
  <si>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</si>
  <si>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</si>
  <si>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</si>
  <si>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</si>
  <si>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</si>
  <si>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</si>
  <si>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</si>
  <si>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</si>
  <si>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</si>
  <si>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</si>
  <si>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</si>
  <si>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</si>
  <si>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</si>
  <si>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</si>
  <si>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</si>
  <si>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</si>
  <si>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</si>
  <si>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</si>
  <si>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</si>
  <si>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</si>
  <si>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</si>
  <si>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</si>
  <si>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</si>
  <si>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</si>
  <si>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</si>
  <si>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</si>
  <si>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</si>
  <si>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</si>
  <si>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</si>
  <si>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</si>
  <si>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</si>
  <si>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</si>
  <si>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</si>
  <si>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</si>
  <si>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</si>
  <si>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</si>
  <si>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</si>
  <si>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</si>
  <si>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</si>
  <si>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</si>
  <si>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</si>
  <si>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</si>
  <si>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</si>
  <si>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</si>
  <si>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</si>
  <si>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</si>
  <si>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</si>
  <si>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</si>
  <si>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</si>
  <si>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</si>
  <si>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</si>
  <si>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</si>
  <si>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</si>
  <si>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</si>
  <si>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</si>
  <si>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</si>
  <si>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</si>
  <si>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</si>
  <si>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</si>
  <si>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</si>
  <si>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</si>
  <si>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</si>
  <si>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</si>
  <si>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</si>
  <si>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</si>
  <si>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</si>
  <si>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</si>
  <si>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</si>
  <si>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</si>
  <si>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</si>
  <si>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</si>
  <si>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</si>
  <si>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</si>
  <si>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</si>
  <si>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</si>
  <si>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</si>
  <si>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</si>
  <si>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</si>
  <si>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</si>
  <si>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</si>
  <si>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</si>
  <si>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</si>
  <si>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</si>
  <si>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</si>
  <si>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</si>
  <si>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</si>
  <si>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</si>
  <si>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</si>
  <si>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</si>
  <si>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</si>
  <si>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</si>
  <si>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</si>
  <si>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</si>
  <si>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</si>
  <si>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</si>
  <si>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</si>
  <si>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</si>
  <si>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</si>
  <si>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</si>
  <si>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</si>
  <si>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</si>
  <si>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</si>
  <si>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</si>
  <si>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</si>
  <si>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</si>
  <si>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</si>
  <si>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</si>
  <si>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</si>
  <si>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</si>
  <si>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</si>
  <si>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</si>
  <si>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</si>
  <si>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</si>
  <si>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</si>
  <si>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</si>
  <si>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</si>
  <si>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</si>
  <si>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</si>
  <si>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</si>
  <si>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</si>
  <si>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</si>
  <si>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</si>
  <si>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</si>
  <si>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</si>
  <si>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</si>
  <si>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</si>
  <si>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</si>
  <si>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</si>
  <si>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</si>
  <si>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</si>
  <si>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</si>
  <si>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</si>
  <si>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</si>
  <si>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</si>
  <si>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</si>
  <si>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</si>
  <si>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</si>
  <si>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</si>
  <si>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</si>
  <si>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</si>
  <si>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</si>
  <si>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</si>
  <si>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</si>
  <si>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</si>
  <si>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</si>
  <si>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</si>
  <si>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</si>
  <si>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</si>
  <si>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</si>
  <si>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</si>
  <si>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</si>
  <si>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</si>
  <si>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</si>
  <si>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</si>
  <si>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</si>
  <si>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</si>
  <si>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</si>
  <si>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</si>
  <si>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</si>
  <si>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</si>
  <si>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</si>
  <si>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</si>
  <si>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</si>
  <si>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</si>
  <si>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</si>
  <si>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</si>
  <si>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</si>
  <si>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</si>
  <si>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</si>
  <si>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</si>
  <si>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</si>
  <si>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</si>
  <si>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</si>
  <si>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</si>
  <si>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</si>
  <si>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</si>
  <si>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</si>
  <si>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</si>
  <si>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</si>
  <si>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</si>
  <si>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</si>
  <si>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</si>
  <si>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</si>
  <si>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</si>
  <si>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</si>
  <si>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</si>
  <si>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</si>
  <si>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</si>
  <si>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</si>
  <si>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</si>
  <si>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</si>
  <si>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</si>
  <si>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</si>
  <si>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</si>
  <si>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</si>
  <si>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</si>
  <si>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</si>
  <si>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</si>
  <si>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</si>
  <si>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</si>
  <si>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</si>
  <si>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</si>
  <si>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</si>
  <si>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</si>
  <si>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</si>
  <si>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</si>
  <si>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</si>
  <si>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</si>
  <si>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</si>
  <si>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</si>
  <si>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</si>
  <si>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</si>
  <si>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</si>
  <si>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</si>
  <si>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</si>
  <si>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</si>
  <si>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</si>
  <si>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</si>
  <si>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</si>
  <si>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</si>
  <si>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</si>
  <si>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</si>
  <si>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</si>
  <si>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</si>
  <si>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</si>
  <si>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</si>
  <si>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</si>
  <si>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</si>
  <si>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</si>
  <si>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</si>
  <si>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</si>
  <si>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</si>
  <si>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</si>
  <si>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</si>
  <si>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</si>
  <si>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</si>
  <si>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</si>
  <si>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</si>
  <si>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</si>
  <si>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</si>
  <si>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</si>
  <si>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</si>
  <si>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</si>
  <si>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</si>
  <si>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</si>
  <si>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</si>
  <si>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</si>
  <si>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</si>
  <si>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</si>
  <si>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</si>
  <si>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</si>
  <si>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</si>
  <si>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</si>
  <si>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</si>
  <si>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</si>
  <si>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</si>
  <si>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</si>
  <si>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</si>
  <si>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</si>
  <si>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</si>
  <si>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</si>
  <si>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</si>
  <si>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</si>
  <si>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</si>
  <si>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</si>
  <si>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</si>
  <si>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</si>
  <si>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</si>
  <si>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</si>
  <si>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</si>
  <si>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</si>
  <si>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</si>
  <si>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</si>
  <si>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</si>
  <si>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</si>
  <si>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</si>
  <si>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</si>
  <si>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</si>
  <si>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</si>
  <si>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</si>
  <si>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</si>
  <si>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</si>
  <si>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</si>
  <si>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</si>
  <si>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</si>
  <si>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</si>
  <si>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</si>
  <si>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</si>
  <si>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</si>
  <si>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</si>
  <si>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</si>
  <si>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</si>
  <si>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</si>
  <si>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</si>
  <si>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</si>
  <si>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</si>
  <si>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</si>
  <si>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</si>
  <si>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</si>
  <si>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</si>
  <si>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</si>
  <si>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</si>
  <si>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</si>
  <si>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</si>
  <si>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</si>
  <si>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</si>
  <si>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</si>
  <si>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</si>
  <si>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</si>
  <si>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</si>
  <si>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</si>
  <si>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</si>
  <si>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</si>
  <si>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</si>
  <si>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</si>
  <si>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</si>
  <si>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</si>
  <si>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</si>
  <si>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</si>
  <si>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</si>
  <si>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</si>
  <si>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</si>
  <si>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</si>
  <si>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</si>
  <si>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</si>
  <si>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</si>
  <si>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</si>
  <si>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</si>
  <si>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</si>
  <si>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</si>
  <si>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</si>
  <si>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</si>
  <si>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</si>
  <si>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</si>
  <si>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</si>
  <si>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</si>
  <si>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</si>
  <si>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</si>
  <si>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</si>
  <si>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</si>
  <si>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</si>
  <si>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</si>
  <si>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</si>
  <si>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</si>
  <si>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</si>
  <si>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</si>
  <si>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</si>
  <si>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</si>
  <si>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</si>
  <si>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</si>
  <si>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</si>
  <si>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</si>
  <si>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</si>
  <si>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</si>
  <si>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</si>
  <si>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</si>
  <si>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</si>
  <si>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</si>
  <si>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</si>
  <si>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</si>
  <si>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</si>
  <si>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</si>
  <si>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</si>
  <si>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</si>
  <si>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</si>
  <si>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</si>
  <si>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</si>
  <si>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</si>
  <si>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</si>
  <si>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</si>
  <si>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</si>
  <si>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</si>
  <si>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</si>
  <si>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</si>
  <si>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</si>
  <si>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</si>
  <si>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</si>
  <si>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</si>
  <si>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</si>
  <si>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</si>
  <si>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</si>
  <si>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</si>
  <si>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</si>
  <si>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</si>
  <si>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</si>
  <si>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</si>
  <si>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</si>
  <si>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</si>
  <si>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</si>
  <si>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</si>
  <si>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</si>
  <si>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</si>
  <si>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</si>
  <si>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</si>
  <si>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</si>
  <si>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</si>
  <si>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</si>
  <si>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</si>
  <si>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</si>
  <si>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</si>
  <si>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</si>
  <si>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</si>
  <si>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</si>
  <si>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</si>
  <si>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</si>
  <si>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</si>
  <si>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</si>
  <si>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</si>
  <si>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</si>
  <si>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</si>
  <si>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</si>
  <si>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</si>
  <si>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</si>
  <si>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</si>
  <si>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</si>
  <si>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</si>
  <si>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</si>
  <si>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</si>
  <si>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</si>
  <si>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</si>
  <si>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</si>
  <si>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</si>
  <si>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</si>
  <si>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</si>
  <si>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</si>
  <si>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</si>
  <si>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</si>
  <si>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</si>
  <si>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</si>
  <si>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</si>
  <si>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</si>
  <si>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</si>
  <si>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</si>
  <si>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</si>
  <si>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</si>
  <si>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</si>
  <si>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</si>
  <si>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</si>
  <si>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</si>
  <si>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</si>
  <si>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</si>
  <si>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</si>
  <si>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</si>
  <si>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</si>
  <si>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</si>
  <si>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</si>
  <si>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</si>
  <si>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</si>
  <si>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</si>
  <si>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</si>
  <si>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</si>
  <si>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</si>
  <si>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</si>
  <si>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</si>
  <si>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</si>
  <si>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</si>
  <si>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</si>
  <si>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</si>
  <si>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</si>
  <si>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</si>
  <si>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</si>
  <si>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</si>
  <si>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</si>
  <si>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</si>
  <si>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</si>
  <si>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</si>
  <si>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</si>
  <si>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</si>
  <si>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</si>
  <si>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</si>
  <si>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</si>
  <si>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</si>
  <si>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</si>
  <si>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</si>
  <si>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</si>
  <si>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</si>
  <si>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</si>
  <si>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</si>
  <si>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</si>
  <si>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</si>
  <si>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</si>
  <si>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</si>
  <si>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</si>
  <si>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</si>
  <si>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</si>
  <si>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</si>
  <si>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</si>
  <si>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</si>
  <si>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</si>
  <si>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</si>
  <si>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</si>
  <si>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</si>
  <si>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</si>
  <si>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</si>
  <si>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</si>
  <si>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</si>
  <si>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</si>
  <si>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</si>
  <si>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</si>
  <si>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</si>
  <si>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</si>
  <si>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</si>
  <si>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</si>
  <si>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</si>
  <si>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</si>
  <si>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</si>
  <si>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</si>
  <si>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</si>
  <si>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</si>
  <si>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</si>
  <si>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</si>
  <si>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</si>
  <si>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</si>
  <si>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</si>
  <si>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</si>
  <si>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</si>
  <si>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</si>
  <si>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</si>
  <si>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</si>
  <si>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</si>
  <si>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</si>
  <si>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</si>
  <si>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</si>
  <si>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</si>
  <si>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</si>
  <si>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</si>
  <si>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</si>
  <si>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</si>
  <si>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</si>
  <si>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</si>
  <si>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</si>
  <si>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</si>
  <si>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</si>
  <si>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</si>
  <si>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</si>
  <si>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</si>
  <si>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</si>
  <si>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</si>
  <si>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</si>
  <si>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</si>
  <si>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</si>
  <si>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</si>
  <si>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</si>
  <si>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</si>
  <si>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</si>
  <si>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</si>
  <si>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</si>
  <si>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</si>
  <si>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</si>
  <si>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</si>
  <si>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</si>
  <si>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</si>
  <si>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</si>
  <si>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</si>
  <si>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</si>
  <si>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</si>
  <si>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</si>
  <si>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</si>
  <si>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</si>
  <si>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</si>
  <si>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</si>
  <si>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</si>
  <si>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</si>
  <si>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</si>
  <si>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</si>
  <si>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</si>
  <si>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</si>
  <si>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</si>
  <si>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</si>
  <si>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</si>
  <si>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</si>
  <si>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</si>
  <si>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</si>
  <si>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</si>
  <si>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</si>
  <si>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</si>
  <si>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</si>
  <si>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</si>
  <si>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</si>
  <si>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</si>
  <si>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</si>
  <si>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</si>
  <si>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</si>
  <si>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</si>
  <si>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</si>
  <si>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</si>
  <si>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</si>
  <si>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</si>
  <si>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</si>
  <si>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</si>
  <si>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</si>
  <si>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</si>
  <si>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</si>
  <si>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</si>
  <si>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</si>
  <si>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</si>
  <si>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</si>
  <si>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</si>
  <si>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</si>
  <si>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</si>
  <si>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</si>
  <si>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</si>
  <si>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</si>
  <si>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</si>
  <si>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</si>
  <si>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</si>
  <si>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</si>
  <si>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</si>
  <si>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</si>
  <si>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</si>
  <si>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</si>
  <si>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</si>
  <si>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</si>
  <si>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</si>
  <si>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</si>
  <si>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</si>
  <si>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</si>
  <si>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</si>
  <si>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</si>
  <si>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</si>
  <si>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</si>
  <si>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</si>
  <si>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</si>
  <si>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</si>
  <si>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</si>
  <si>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</si>
  <si>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</si>
  <si>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</si>
  <si>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</si>
  <si>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</si>
  <si>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</si>
  <si>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</si>
  <si>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</si>
  <si>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</si>
  <si>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</si>
  <si>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</si>
  <si>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</si>
  <si>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</si>
  <si>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</si>
  <si>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</si>
  <si>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</si>
  <si>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</si>
  <si>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</si>
  <si>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</si>
  <si>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</si>
  <si>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</si>
  <si>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</si>
  <si>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</si>
  <si>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</si>
  <si>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</si>
  <si>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</si>
  <si>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</si>
  <si>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</si>
  <si>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</si>
  <si>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</si>
  <si>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</si>
  <si>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</si>
  <si>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</si>
  <si>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</si>
  <si>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</si>
  <si>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</si>
  <si>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</si>
  <si>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</si>
  <si>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</si>
  <si>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</si>
  <si>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</si>
  <si>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</si>
  <si>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</si>
  <si>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</si>
  <si>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</si>
  <si>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</si>
  <si>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</si>
  <si>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</si>
  <si>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</si>
  <si>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</si>
  <si>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</si>
  <si>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</si>
  <si>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</si>
  <si>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</si>
  <si>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</si>
  <si>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</si>
  <si>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</si>
  <si>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</si>
  <si>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</si>
  <si>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</si>
  <si>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</si>
  <si>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</si>
  <si>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</si>
  <si>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</si>
  <si>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</si>
  <si>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</si>
  <si>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</si>
  <si>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</si>
  <si>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</si>
  <si>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</si>
  <si>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</si>
  <si>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</si>
  <si>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</si>
  <si>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</si>
  <si>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</si>
  <si>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</si>
  <si>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</si>
  <si>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</si>
  <si>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</si>
  <si>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</si>
  <si>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</si>
  <si>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</si>
  <si>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</si>
  <si>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</si>
  <si>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</si>
  <si>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</si>
  <si>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</si>
  <si>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</si>
  <si>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</si>
  <si>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</si>
  <si>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</si>
  <si>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</si>
  <si>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</si>
  <si>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</si>
  <si>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</si>
  <si>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</si>
  <si>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</si>
  <si>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</si>
  <si>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</si>
  <si>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</si>
  <si>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</si>
  <si>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</si>
  <si>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</si>
  <si>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</si>
  <si>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</si>
  <si>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</si>
  <si>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</si>
  <si>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</si>
  <si>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</si>
  <si>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</si>
  <si>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</si>
  <si>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</si>
  <si>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</si>
  <si>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</si>
  <si>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</si>
  <si>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</si>
  <si>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</si>
  <si>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</si>
  <si>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</si>
  <si>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</si>
  <si>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</si>
  <si>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</si>
  <si>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</si>
  <si>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</si>
  <si>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</si>
  <si>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</si>
  <si>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</si>
  <si>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</si>
  <si>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</si>
  <si>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</si>
  <si>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</si>
  <si>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</si>
  <si>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</si>
  <si>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</si>
  <si>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</si>
  <si>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</si>
  <si>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</si>
  <si>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</si>
  <si>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</si>
  <si>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</si>
  <si>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</si>
  <si>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</si>
  <si>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</si>
  <si>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</si>
  <si>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</si>
  <si>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</si>
  <si>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</si>
  <si>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</si>
  <si>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</si>
  <si>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</si>
  <si>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</si>
  <si>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</si>
  <si>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</si>
  <si>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</si>
  <si>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</si>
  <si>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</si>
  <si>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</si>
  <si>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</si>
  <si>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</si>
  <si>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</si>
  <si>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</si>
  <si>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</si>
  <si>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</si>
  <si>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</si>
  <si>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</si>
  <si>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</si>
  <si>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</si>
  <si>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</si>
  <si>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</si>
  <si>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</si>
  <si>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</si>
  <si>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</si>
  <si>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</si>
  <si>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</si>
  <si>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</si>
  <si>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</si>
  <si>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</si>
  <si>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</si>
  <si>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</si>
  <si>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</si>
  <si>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</si>
  <si>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</si>
  <si>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</si>
  <si>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</si>
  <si>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</si>
  <si>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</si>
  <si>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</si>
  <si>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</si>
  <si>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</si>
  <si>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</si>
  <si>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</si>
  <si>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</si>
  <si>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</si>
  <si>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</si>
  <si>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</si>
  <si>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</si>
  <si>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</si>
  <si>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</si>
  <si>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</si>
  <si>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</si>
  <si>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</si>
  <si>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</si>
  <si>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</si>
  <si>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</si>
  <si>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</si>
  <si>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</si>
  <si>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</si>
  <si>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</si>
  <si>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</si>
  <si>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</si>
  <si>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</si>
  <si>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</si>
  <si>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</si>
  <si>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</si>
  <si>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</si>
  <si>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</si>
  <si>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</si>
  <si>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</si>
  <si>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</si>
  <si>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</si>
  <si>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</si>
  <si>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</si>
  <si>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</si>
  <si>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</si>
  <si>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</si>
  <si>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</si>
  <si>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</si>
  <si>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</si>
  <si>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</si>
  <si>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</si>
  <si>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</si>
  <si>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</si>
  <si>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</si>
  <si>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</si>
  <si>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</si>
  <si>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</si>
  <si>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</si>
  <si>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</si>
  <si>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</si>
  <si>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</si>
  <si>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</si>
  <si>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</si>
  <si>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</si>
  <si>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</si>
  <si>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</si>
  <si>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</si>
  <si>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</si>
  <si>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</si>
  <si>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</si>
  <si>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</si>
  <si>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</si>
  <si>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</si>
  <si>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</si>
  <si>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</si>
  <si>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</si>
  <si>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</si>
  <si>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</si>
  <si>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</si>
  <si>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</si>
  <si>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</si>
  <si>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</si>
  <si>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</si>
  <si>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</si>
  <si>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</si>
  <si>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</si>
  <si>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</si>
  <si>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</si>
  <si>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</si>
  <si>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</si>
  <si>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</si>
  <si>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</si>
  <si>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</si>
  <si>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</si>
  <si>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</si>
  <si>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</si>
  <si>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</si>
  <si>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</si>
  <si>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</si>
  <si>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</si>
  <si>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</si>
  <si>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</si>
  <si>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</si>
  <si>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</si>
  <si>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</si>
  <si>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</si>
  <si>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</si>
  <si>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</si>
  <si>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</si>
  <si>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</si>
  <si>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</si>
  <si>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</si>
  <si>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</si>
  <si>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</si>
  <si>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</si>
  <si>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</si>
  <si>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</si>
  <si>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</si>
  <si>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</si>
  <si>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</si>
  <si>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</si>
  <si>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</si>
  <si>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</si>
  <si>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</si>
  <si>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</si>
  <si>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</si>
  <si>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</si>
  <si>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</si>
  <si>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</si>
  <si>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</si>
  <si>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</si>
  <si>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</si>
  <si>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</si>
  <si>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</si>
  <si>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</si>
  <si>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</si>
  <si>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</si>
  <si>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</si>
  <si>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</si>
  <si>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</si>
  <si>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</si>
  <si>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</si>
  <si>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</si>
  <si>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</si>
  <si>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</si>
  <si>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</si>
  <si>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</si>
  <si>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</si>
  <si>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</si>
  <si>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</si>
  <si>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</si>
  <si>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</si>
  <si>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</si>
  <si>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</si>
  <si>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</si>
  <si>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</si>
  <si>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</si>
  <si>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</si>
  <si>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</si>
  <si>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</si>
  <si>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</si>
  <si>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</si>
  <si>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</si>
  <si>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</si>
  <si>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</si>
  <si>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</si>
  <si>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</si>
  <si>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</si>
  <si>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</si>
  <si>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</si>
  <si>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</si>
  <si>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</si>
  <si>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</si>
  <si>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</si>
  <si>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</si>
  <si>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</si>
  <si>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</si>
  <si>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</si>
  <si>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</si>
  <si>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</si>
  <si>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</si>
  <si>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</si>
  <si>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</si>
  <si>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</si>
  <si>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</si>
  <si>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</si>
  <si>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</si>
  <si>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</si>
  <si>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</si>
  <si>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</si>
  <si>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</si>
  <si>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</si>
  <si>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</si>
  <si>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</si>
  <si>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</si>
  <si>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</si>
  <si>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</si>
  <si>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</si>
  <si>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</si>
  <si>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</si>
  <si>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</si>
  <si>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</si>
  <si>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</si>
  <si>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</si>
  <si>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</si>
  <si>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</si>
  <si>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</si>
  <si>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</si>
  <si>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</si>
  <si>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</si>
  <si>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</si>
  <si>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</si>
  <si>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</si>
  <si>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</si>
  <si>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</si>
  <si>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</si>
  <si>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</si>
  <si>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</si>
  <si>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</si>
  <si>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</si>
  <si>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</si>
  <si>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</si>
  <si>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</si>
  <si>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</si>
  <si>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</si>
  <si>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</si>
  <si>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</si>
  <si>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</si>
  <si>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</si>
  <si>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</si>
  <si>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</si>
  <si>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</si>
  <si>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</si>
  <si>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</si>
  <si>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</si>
  <si>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</si>
  <si>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</si>
  <si>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</si>
  <si>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</si>
  <si>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</si>
  <si>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</si>
  <si>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</si>
  <si>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</si>
  <si>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</si>
  <si>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</si>
  <si>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</si>
  <si>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</si>
  <si>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</si>
  <si>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</si>
  <si>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</si>
  <si>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</si>
  <si>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</si>
  <si>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</si>
  <si>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</si>
  <si>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</si>
  <si>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</si>
  <si>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</si>
  <si>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</si>
  <si>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</si>
  <si>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</si>
  <si>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</si>
  <si>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</si>
  <si>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</si>
  <si>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</si>
  <si>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</si>
  <si>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</si>
  <si>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</si>
  <si>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</si>
  <si>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</si>
  <si>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</si>
  <si>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</si>
  <si>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</si>
  <si>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</si>
  <si>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</si>
  <si>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</si>
  <si>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</si>
  <si>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</si>
  <si>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</si>
  <si>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</si>
  <si>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</si>
  <si>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</si>
  <si>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</si>
  <si>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</si>
  <si>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</si>
  <si>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</si>
  <si>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</si>
  <si>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</si>
  <si>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</si>
  <si>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</si>
  <si>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</si>
  <si>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</si>
  <si>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</si>
  <si>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</si>
  <si>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</si>
  <si>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</si>
  <si>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</si>
  <si>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</si>
  <si>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</si>
  <si>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</si>
  <si>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</si>
  <si>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</si>
  <si>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</si>
  <si>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</si>
  <si>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</si>
  <si>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</si>
  <si>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</si>
  <si>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</si>
  <si>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</si>
  <si>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</si>
  <si>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</si>
  <si>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</si>
  <si>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</si>
  <si>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</si>
  <si>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</si>
  <si>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</si>
  <si>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</si>
  <si>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</si>
  <si>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</si>
  <si>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</si>
  <si>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</si>
  <si>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</si>
  <si>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</si>
  <si>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</si>
  <si>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</si>
  <si>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</si>
  <si>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</si>
  <si>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</si>
  <si>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</si>
  <si>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</si>
  <si>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</si>
  <si>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</si>
  <si>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</si>
  <si>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</si>
  <si>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</si>
  <si>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</si>
  <si>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</si>
  <si>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</si>
  <si>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</si>
  <si>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</si>
  <si>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</si>
  <si>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</si>
  <si>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</si>
  <si>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</si>
  <si>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</si>
  <si>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</si>
  <si>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</si>
  <si>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</si>
  <si>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</si>
  <si>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</si>
  <si>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</si>
  <si>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</si>
  <si>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</si>
  <si>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</si>
  <si>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</si>
  <si>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</si>
  <si>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</si>
  <si>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</si>
  <si>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</si>
  <si>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</si>
  <si>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</si>
  <si>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</si>
  <si>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</si>
  <si>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</si>
  <si>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</si>
  <si>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</si>
  <si>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</si>
  <si>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</si>
  <si>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</si>
  <si>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</si>
  <si>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</si>
  <si>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</si>
  <si>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</si>
  <si>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</si>
  <si>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</si>
  <si>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</si>
  <si>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</si>
  <si>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</si>
  <si>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</si>
  <si>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</si>
  <si>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</si>
  <si>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</si>
  <si>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</si>
  <si>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</si>
  <si>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</si>
  <si>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</si>
  <si>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</si>
  <si>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</si>
  <si>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</si>
  <si>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</si>
  <si>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</si>
  <si>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</si>
  <si>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</si>
  <si>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</si>
  <si>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</si>
  <si>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</si>
  <si>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</si>
  <si>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</si>
  <si>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</si>
  <si>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</si>
  <si>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</si>
  <si>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</si>
  <si>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</si>
  <si>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</si>
  <si>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</si>
  <si>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</si>
  <si>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</si>
  <si>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</si>
  <si>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</si>
  <si>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</si>
  <si>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</si>
  <si>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</si>
  <si>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</si>
  <si>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</si>
  <si>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</si>
  <si>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</si>
  <si>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</si>
  <si>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</si>
  <si>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</si>
  <si>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</si>
  <si>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</si>
  <si>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</si>
  <si>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</si>
  <si>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</si>
  <si>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</si>
  <si>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</si>
  <si>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</si>
  <si>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</si>
  <si>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</si>
  <si>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</si>
  <si>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</si>
  <si>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</si>
  <si>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</si>
  <si>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</si>
  <si>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</si>
  <si>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</si>
  <si>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</si>
  <si>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</si>
  <si>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</si>
  <si>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</si>
  <si>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</si>
  <si>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</si>
  <si>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</si>
  <si>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</si>
  <si>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</si>
  <si>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</si>
  <si>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</si>
  <si>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</si>
  <si>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</si>
  <si>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</si>
  <si>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</si>
  <si>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</si>
  <si>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</si>
  <si>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</si>
  <si>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</si>
  <si>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</si>
  <si>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</si>
  <si>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</si>
  <si>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</si>
  <si>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</si>
  <si>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</si>
  <si>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</si>
  <si>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</si>
  <si>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</si>
  <si>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</si>
  <si>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</si>
  <si>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</si>
  <si>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</si>
  <si>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</si>
  <si>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</si>
  <si>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</si>
  <si>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</si>
  <si>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</si>
  <si>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</si>
  <si>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</si>
  <si>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</si>
  <si>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</si>
  <si>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</si>
  <si>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</si>
  <si>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</si>
  <si>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</si>
  <si>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</si>
  <si>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</si>
  <si>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</si>
  <si>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</si>
  <si>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</si>
  <si>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</si>
  <si>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</si>
  <si>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</si>
  <si>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</si>
  <si>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</si>
  <si>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</si>
  <si>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</si>
  <si>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</si>
  <si>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</si>
  <si>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</si>
  <si>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</si>
  <si>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</si>
  <si>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</si>
  <si>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</si>
  <si>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</si>
  <si>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</si>
  <si>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</si>
  <si>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</si>
  <si>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</si>
  <si>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</si>
  <si>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</si>
  <si>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</si>
  <si>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</si>
  <si>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</si>
  <si>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</si>
  <si>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</si>
  <si>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</si>
  <si>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</si>
  <si>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</si>
  <si>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</si>
  <si>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</si>
  <si>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</si>
  <si>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</si>
  <si>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</si>
  <si>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</si>
  <si>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</si>
  <si>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</si>
  <si>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</si>
  <si>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</si>
  <si>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</si>
  <si>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</si>
  <si>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</si>
  <si>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</si>
  <si>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</si>
  <si>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</si>
  <si>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</si>
  <si>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</si>
  <si>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</si>
  <si>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</si>
  <si>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</si>
  <si>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</si>
  <si>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</si>
  <si>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</si>
  <si>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</si>
  <si>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</si>
  <si>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</si>
  <si>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</si>
  <si>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</si>
  <si>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</si>
  <si>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</si>
  <si>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</si>
  <si>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</si>
  <si>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</si>
  <si>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</si>
  <si>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</si>
  <si>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</si>
  <si>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</si>
  <si>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</si>
  <si>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</si>
  <si>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</si>
  <si>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</si>
  <si>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</si>
  <si>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</si>
  <si>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</si>
  <si>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</si>
  <si>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</si>
  <si>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</si>
  <si>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</si>
  <si>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</si>
  <si>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</si>
  <si>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</si>
  <si>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</si>
  <si>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</si>
  <si>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</si>
  <si>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</si>
  <si>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</si>
  <si>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</si>
  <si>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</si>
  <si>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</si>
  <si>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</si>
  <si>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</si>
  <si>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</si>
  <si>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</si>
  <si>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</si>
  <si>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</si>
  <si>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</si>
  <si>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</si>
  <si>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</si>
  <si>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</si>
  <si>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</si>
  <si>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</si>
  <si>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</si>
  <si>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</si>
  <si>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</si>
  <si>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</si>
  <si>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</si>
  <si>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</si>
  <si>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</si>
  <si>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</si>
  <si>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</si>
  <si>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</si>
  <si>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</si>
  <si>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</si>
  <si>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</si>
  <si>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</si>
  <si>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</si>
  <si>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</si>
  <si>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</si>
  <si>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</si>
  <si>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</si>
  <si>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</si>
  <si>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</si>
  <si>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</si>
  <si>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</si>
  <si>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</si>
  <si>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</si>
  <si>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</si>
  <si>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</si>
  <si>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</si>
  <si>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</si>
  <si>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</si>
  <si>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</si>
  <si>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</si>
  <si>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</si>
  <si>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</si>
  <si>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</si>
  <si>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</si>
  <si>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</si>
  <si>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</si>
  <si>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</si>
  <si>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</si>
  <si>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</si>
  <si>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</si>
  <si>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</si>
  <si>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</si>
  <si>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</si>
  <si>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</si>
  <si>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</si>
  <si>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</si>
  <si>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</si>
  <si>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</si>
  <si>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</si>
  <si>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</si>
  <si>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</si>
  <si>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</si>
  <si>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</si>
  <si>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</si>
  <si>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</si>
  <si>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</si>
  <si>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</si>
  <si>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</si>
  <si>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</si>
  <si>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</si>
  <si>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</si>
  <si>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</si>
  <si>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</si>
  <si>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</si>
  <si>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</si>
  <si>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</si>
  <si>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</si>
  <si>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</si>
  <si>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</si>
  <si>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</si>
  <si>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</si>
  <si>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</si>
  <si>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</si>
  <si>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</si>
  <si>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</si>
  <si>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</si>
  <si>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</si>
  <si>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</si>
  <si>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</si>
  <si>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</si>
  <si>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</si>
  <si>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</si>
  <si>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</si>
  <si>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</si>
  <si>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</si>
  <si>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</si>
  <si>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</si>
  <si>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</si>
  <si>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</si>
  <si>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</si>
  <si>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</si>
  <si>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</si>
  <si>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</si>
  <si>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</si>
  <si>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</si>
  <si>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</si>
  <si>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</si>
  <si>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</si>
  <si>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</si>
  <si>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</si>
  <si>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</si>
  <si>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</si>
  <si>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</si>
  <si>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</si>
  <si>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</si>
  <si>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</si>
  <si>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</si>
  <si>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</si>
  <si>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</si>
  <si>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</si>
  <si>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</si>
  <si>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</si>
  <si>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</si>
  <si>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</si>
  <si>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</si>
  <si>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</si>
  <si>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</si>
  <si>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</si>
  <si>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</si>
  <si>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</si>
  <si>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</si>
  <si>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</si>
  <si>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</si>
  <si>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</si>
  <si>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</si>
  <si>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</si>
  <si>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</si>
  <si>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</si>
  <si>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</si>
  <si>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</si>
  <si>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</si>
  <si>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</si>
  <si>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</si>
  <si>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</si>
  <si>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</si>
  <si>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</si>
  <si>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</si>
  <si>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</si>
  <si>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</si>
  <si>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</si>
  <si>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</si>
  <si>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</si>
  <si>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</si>
  <si>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</si>
  <si>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</si>
  <si>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</si>
  <si>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</si>
  <si>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</si>
  <si>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</si>
  <si>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</si>
  <si>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</si>
  <si>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</si>
  <si>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</si>
  <si>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</si>
  <si>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</si>
  <si>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</si>
  <si>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</si>
  <si>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</si>
  <si>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</si>
  <si>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</si>
  <si>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</si>
  <si>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</si>
  <si>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</si>
  <si>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</si>
  <si>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</si>
  <si>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</si>
  <si>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</si>
  <si>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</si>
  <si>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</si>
  <si>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</si>
  <si>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</si>
  <si>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</si>
  <si>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</si>
  <si>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</si>
  <si>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</si>
  <si>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</si>
  <si>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</si>
  <si>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</si>
  <si>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</si>
  <si>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</si>
  <si>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</si>
  <si>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</si>
  <si>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</si>
  <si>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</si>
  <si>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</si>
  <si>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</si>
  <si>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</si>
  <si>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</si>
  <si>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</si>
  <si>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</si>
  <si>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</si>
  <si>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</si>
  <si>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</si>
  <si>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</si>
  <si>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</si>
  <si>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</si>
  <si>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</si>
  <si>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</si>
  <si>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</si>
  <si>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</si>
  <si>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</si>
  <si>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</si>
  <si>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</si>
  <si>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</si>
  <si>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</si>
  <si>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</si>
  <si>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</si>
  <si>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</si>
  <si>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</si>
  <si>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</si>
  <si>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</si>
  <si>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</si>
  <si>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</si>
  <si>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</si>
  <si>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</si>
  <si>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</si>
  <si>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</si>
  <si>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</si>
  <si>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</si>
  <si>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</si>
  <si>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</si>
  <si>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</si>
  <si>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</si>
  <si>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</si>
  <si>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</si>
  <si>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</si>
  <si>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</si>
  <si>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</si>
  <si>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</si>
  <si>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</si>
  <si>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</si>
  <si>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</si>
  <si>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</si>
  <si>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</si>
  <si>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</si>
  <si>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</si>
  <si>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</si>
  <si>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</si>
  <si>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</si>
  <si>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</si>
  <si>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</si>
  <si>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</si>
  <si>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</si>
  <si>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</si>
  <si>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</si>
  <si>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</si>
  <si>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</si>
  <si>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</si>
  <si>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</si>
  <si>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</si>
  <si>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</si>
  <si>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</si>
  <si>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</si>
  <si>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</si>
  <si>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</si>
  <si>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</si>
  <si>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</si>
  <si>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</si>
  <si>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</si>
  <si>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</si>
  <si>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</si>
  <si>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</si>
  <si>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</si>
  <si>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</si>
  <si>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</si>
  <si>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</si>
  <si>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</si>
  <si>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</si>
  <si>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</si>
  <si>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</si>
  <si>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</si>
  <si>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</si>
  <si>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</si>
  <si>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</si>
  <si>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</si>
  <si>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</si>
  <si>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</si>
  <si>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</si>
  <si>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</si>
  <si>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</si>
  <si>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</si>
  <si>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</si>
  <si>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</si>
  <si>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</si>
  <si>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</si>
  <si>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</si>
  <si>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</si>
  <si>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</si>
  <si>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</si>
  <si>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</si>
  <si>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</si>
  <si>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</si>
  <si>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</si>
  <si>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</si>
  <si>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</si>
  <si>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</si>
  <si>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</si>
  <si>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</si>
  <si>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</si>
  <si>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</si>
  <si>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</si>
  <si>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</si>
  <si>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</si>
  <si>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</si>
  <si>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</si>
  <si>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</si>
  <si>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</si>
  <si>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</si>
  <si>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</si>
  <si>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</si>
  <si>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</si>
  <si>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</si>
  <si>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</si>
  <si>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</si>
  <si>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</si>
  <si>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</si>
  <si>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</si>
  <si>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</si>
  <si>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</si>
  <si>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</si>
  <si>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</si>
  <si>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</si>
  <si>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</si>
  <si>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</si>
  <si>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</si>
  <si>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</si>
  <si>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</si>
  <si>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</si>
  <si>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</si>
  <si>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</si>
  <si>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</si>
  <si>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</si>
  <si>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</si>
  <si>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</si>
  <si>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</si>
  <si>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</si>
  <si>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</si>
  <si>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</si>
  <si>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</si>
  <si>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</si>
  <si>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</si>
  <si>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</si>
  <si>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</si>
  <si>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</si>
  <si>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</si>
  <si>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</si>
  <si>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</si>
  <si>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</si>
  <si>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</si>
  <si>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</si>
  <si>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</si>
  <si>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</si>
  <si>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</si>
  <si>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</si>
  <si>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</si>
  <si>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</si>
  <si>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</si>
  <si>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</si>
  <si>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</si>
  <si>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</si>
  <si>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</si>
  <si>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</si>
  <si>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</si>
  <si>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</si>
  <si>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</si>
  <si>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</si>
  <si>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</si>
  <si>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</si>
  <si>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</si>
  <si>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</si>
  <si>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</si>
  <si>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</si>
  <si>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</si>
  <si>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</si>
  <si>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</si>
  <si>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</si>
  <si>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</si>
  <si>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</si>
  <si>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</si>
  <si>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</si>
  <si>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</si>
  <si>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</si>
  <si>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</si>
  <si>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</si>
  <si>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</si>
  <si>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</si>
  <si>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</si>
  <si>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</si>
  <si>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</si>
  <si>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</si>
  <si>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</si>
  <si>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</si>
  <si>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</si>
  <si>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</si>
  <si>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</si>
  <si>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</si>
  <si>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</si>
  <si>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</si>
  <si>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</si>
  <si>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</si>
  <si>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</si>
  <si>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</si>
  <si>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</si>
  <si>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</si>
  <si>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</si>
  <si>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</si>
  <si>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</si>
  <si>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</si>
  <si>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</si>
  <si>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</si>
  <si>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</si>
  <si>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</si>
  <si>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</si>
  <si>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</si>
  <si>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</si>
  <si>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</si>
  <si>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</si>
  <si>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</si>
  <si>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</si>
  <si>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</si>
  <si>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</si>
  <si>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</si>
  <si>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</si>
  <si>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</si>
  <si>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</si>
  <si>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</si>
  <si>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</si>
  <si>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</si>
  <si>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</si>
  <si>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</si>
  <si>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</si>
  <si>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</si>
  <si>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</si>
  <si>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</si>
  <si>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</si>
  <si>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</si>
  <si>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</si>
  <si>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</si>
  <si>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</si>
  <si>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</si>
  <si>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</si>
  <si>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</si>
  <si>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</si>
  <si>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</si>
  <si>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</si>
  <si>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</si>
  <si>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</si>
  <si>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</si>
  <si>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</si>
  <si>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</si>
  <si>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</si>
  <si>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</si>
  <si>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</si>
  <si>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</si>
  <si>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</si>
  <si>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</si>
  <si>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</si>
  <si>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</si>
  <si>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</si>
  <si>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</si>
  <si>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</si>
  <si>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</si>
  <si>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</si>
  <si>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</si>
  <si>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</si>
  <si>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</si>
  <si>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</si>
  <si>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</si>
  <si>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</si>
  <si>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</si>
  <si>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</si>
  <si>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</si>
  <si>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</si>
  <si>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</si>
  <si>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</si>
  <si>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</si>
  <si>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</si>
  <si>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</si>
  <si>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</si>
  <si>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</si>
  <si>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</si>
  <si>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</si>
  <si>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</si>
  <si>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</si>
  <si>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</si>
  <si>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</si>
  <si>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</si>
  <si>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</si>
  <si>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</si>
  <si>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</si>
  <si>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</si>
  <si>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</si>
  <si>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</si>
  <si>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</si>
  <si>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</si>
  <si>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</si>
  <si>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</si>
  <si>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</si>
  <si>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</si>
  <si>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</si>
  <si>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</si>
  <si>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</si>
  <si>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</si>
  <si>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</si>
  <si>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</si>
  <si>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</si>
  <si>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</si>
  <si>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</si>
  <si>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</si>
  <si>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</si>
  <si>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</si>
  <si>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</si>
  <si>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</si>
  <si>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</si>
  <si>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</si>
  <si>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</si>
  <si>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</si>
  <si>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</si>
  <si>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</si>
  <si>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</si>
  <si>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</si>
  <si>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</si>
  <si>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</si>
  <si>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</si>
  <si>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</si>
  <si>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</si>
  <si>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</si>
  <si>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</si>
  <si>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</si>
  <si>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</si>
  <si>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</si>
  <si>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</si>
  <si>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</si>
  <si>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</si>
  <si>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</si>
  <si>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</si>
  <si>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</si>
  <si>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</si>
  <si>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</si>
  <si>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</si>
  <si>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</si>
  <si>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</si>
  <si>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</si>
  <si>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</si>
  <si>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</si>
  <si>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</si>
  <si>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</si>
  <si>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</si>
  <si>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</si>
  <si>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</si>
  <si>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</si>
  <si>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</si>
  <si>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</si>
  <si>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</si>
  <si>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</si>
  <si>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</si>
  <si>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</si>
  <si>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</si>
  <si>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</si>
  <si>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</si>
  <si>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</si>
  <si>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</si>
  <si>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</si>
  <si>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</si>
  <si>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</si>
  <si>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</si>
  <si>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</si>
  <si>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</si>
  <si>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</si>
  <si>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</si>
  <si>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</si>
  <si>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</si>
  <si>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</si>
  <si>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</si>
  <si>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</si>
  <si>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</si>
  <si>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</si>
  <si>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</si>
  <si>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</si>
  <si>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</si>
  <si>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</si>
  <si>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</si>
  <si>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</si>
  <si>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</si>
  <si>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</si>
  <si>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</si>
  <si>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</si>
  <si>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</si>
  <si>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</si>
  <si>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</si>
  <si>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</si>
  <si>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</si>
  <si>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</si>
  <si>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</si>
  <si>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</si>
  <si>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</si>
  <si>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</si>
  <si>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</si>
  <si>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</si>
  <si>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</si>
  <si>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</si>
  <si>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</si>
  <si>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</si>
  <si>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</si>
  <si>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</si>
  <si>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</si>
  <si>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</si>
  <si>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</si>
  <si>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</si>
  <si>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</si>
  <si>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</si>
  <si>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</si>
  <si>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</si>
  <si>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</si>
  <si>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</si>
  <si>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</si>
  <si>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</si>
  <si>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</si>
  <si>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</si>
  <si>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</si>
  <si>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</si>
  <si>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</si>
  <si>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</si>
  <si>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</si>
  <si>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</si>
  <si>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</si>
  <si>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</si>
  <si>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</si>
  <si>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</si>
  <si>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</si>
  <si>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</si>
  <si>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</si>
  <si>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</si>
  <si>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</si>
  <si>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</si>
  <si>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</si>
  <si>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</si>
  <si>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</si>
  <si>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</si>
  <si>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</si>
  <si>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</si>
  <si>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</si>
  <si>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</si>
  <si>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</si>
  <si>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</si>
  <si>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</si>
  <si>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</si>
  <si>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</si>
  <si>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</si>
  <si>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</si>
  <si>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</si>
  <si>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</si>
  <si>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</si>
  <si>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</si>
  <si>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</si>
  <si>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</si>
  <si>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</si>
  <si>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</si>
  <si>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</si>
  <si>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</si>
  <si>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</si>
  <si>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</si>
  <si>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</si>
  <si>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</si>
  <si>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</si>
  <si>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</si>
  <si>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</si>
  <si>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</si>
  <si>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</si>
  <si>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</si>
  <si>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</si>
  <si>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</si>
  <si>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</si>
  <si>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</si>
  <si>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</si>
  <si>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</si>
  <si>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</si>
  <si>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</si>
  <si>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</si>
  <si>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</si>
  <si>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</si>
  <si>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</si>
  <si>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</si>
  <si>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</si>
  <si>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</si>
  <si>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</si>
  <si>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</si>
  <si>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</si>
  <si>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</si>
  <si>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</si>
  <si>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</si>
  <si>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</si>
  <si>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</si>
  <si>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</si>
  <si>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</si>
  <si>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</si>
  <si>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</si>
  <si>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</si>
  <si>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</si>
  <si>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</si>
  <si>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</si>
  <si>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</si>
  <si>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</si>
  <si>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</si>
  <si>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</si>
  <si>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</si>
  <si>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</si>
  <si>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</si>
  <si>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</si>
  <si>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</si>
  <si>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</si>
  <si>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</si>
  <si>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</si>
  <si>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</si>
  <si>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</si>
  <si>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</si>
  <si>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</si>
  <si>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</si>
  <si>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</si>
  <si>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</si>
  <si>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</si>
  <si>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</si>
  <si>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</si>
  <si>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</si>
  <si>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</si>
  <si>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</si>
  <si>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</si>
  <si>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</si>
  <si>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</si>
  <si>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</si>
  <si>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</si>
  <si>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</si>
  <si>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</si>
  <si>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</si>
  <si>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</si>
  <si>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</si>
  <si>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</si>
  <si>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</si>
  <si>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</si>
  <si>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</si>
  <si>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</si>
  <si>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</si>
  <si>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</si>
  <si>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</si>
  <si>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</si>
  <si>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</si>
  <si>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</si>
  <si>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</si>
  <si>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</si>
  <si>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</si>
  <si>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</si>
  <si>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</si>
  <si>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</si>
  <si>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</si>
  <si>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</si>
  <si>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</si>
  <si>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</si>
  <si>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</si>
  <si>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</si>
  <si>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</si>
  <si>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</si>
  <si>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</si>
  <si>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</si>
  <si>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</si>
  <si>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</si>
  <si>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</si>
  <si>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</si>
  <si>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</si>
  <si>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</si>
  <si>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</si>
  <si>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</si>
  <si>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</si>
  <si>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</si>
  <si>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</si>
  <si>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</si>
  <si>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</si>
  <si>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</si>
  <si>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</si>
  <si>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</si>
  <si>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</si>
  <si>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</si>
  <si>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</si>
  <si>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</si>
  <si>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</si>
  <si>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</si>
  <si>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</si>
  <si>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</si>
  <si>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</si>
  <si>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</si>
  <si>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</si>
  <si>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</si>
  <si>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</si>
  <si>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</si>
  <si>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</si>
  <si>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</si>
  <si>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</si>
  <si>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</si>
  <si>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</si>
  <si>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</si>
  <si>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</si>
  <si>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</si>
  <si>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</si>
  <si>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</si>
  <si>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</si>
  <si>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</si>
  <si>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</si>
  <si>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</si>
  <si>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</si>
  <si>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</si>
  <si>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</si>
  <si>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</si>
  <si>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</si>
  <si>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</si>
  <si>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</si>
  <si>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</si>
  <si>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</si>
  <si>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</si>
  <si>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</si>
  <si>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</si>
  <si>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</si>
  <si>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</si>
  <si>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</si>
  <si>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</si>
  <si>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</si>
  <si>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</si>
  <si>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</si>
  <si>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</si>
  <si>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</si>
  <si>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</si>
  <si>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</si>
  <si>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</si>
  <si>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</si>
  <si>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</si>
  <si>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</si>
  <si>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</si>
  <si>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</si>
  <si>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</si>
  <si>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</si>
  <si>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</si>
  <si>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</si>
  <si>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</si>
  <si>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</si>
  <si>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</si>
  <si>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</si>
  <si>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</si>
  <si>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</si>
  <si>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</si>
  <si>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</si>
  <si>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</si>
  <si>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</si>
  <si>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</si>
  <si>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</si>
  <si>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</si>
  <si>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</si>
  <si>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</si>
  <si>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</si>
  <si>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</si>
  <si>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</si>
  <si>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</si>
  <si>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</si>
  <si>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</si>
  <si>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</si>
  <si>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</si>
  <si>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</si>
  <si>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</si>
  <si>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</si>
  <si>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</si>
  <si>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</si>
  <si>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</si>
  <si>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</si>
  <si>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</si>
  <si>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</si>
  <si>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</si>
  <si>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</si>
  <si>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</si>
  <si>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</si>
  <si>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</si>
  <si>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</si>
  <si>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</si>
  <si>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</si>
  <si>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</si>
  <si>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</si>
  <si>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</si>
  <si>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</si>
  <si>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</si>
  <si>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</si>
  <si>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</si>
  <si>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</si>
  <si>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</si>
  <si>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</si>
  <si>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</si>
  <si>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</si>
  <si>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</si>
  <si>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</si>
  <si>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</si>
  <si>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</si>
  <si>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</si>
  <si>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</si>
  <si>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</si>
  <si>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</si>
  <si>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</si>
  <si>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</si>
  <si>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</si>
  <si>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</si>
  <si>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</si>
  <si>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</si>
  <si>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</si>
  <si>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</si>
  <si>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</si>
  <si>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</si>
  <si>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</si>
  <si>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</si>
  <si>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</si>
  <si>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</si>
  <si>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</si>
  <si>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</si>
  <si>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</si>
  <si>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</si>
  <si>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</si>
  <si>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</si>
  <si>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</si>
  <si>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</si>
  <si>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</si>
  <si>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</si>
  <si>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</si>
  <si>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</si>
  <si>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</si>
  <si>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</si>
  <si>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</si>
  <si>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</si>
  <si>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</si>
  <si>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</si>
  <si>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</si>
  <si>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</si>
  <si>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</si>
  <si>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</si>
  <si>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</si>
  <si>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</si>
  <si>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</si>
  <si>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</si>
  <si>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</si>
  <si>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</si>
  <si>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</si>
  <si>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</si>
  <si>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</si>
  <si>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</si>
  <si>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</si>
  <si>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</si>
  <si>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</si>
  <si>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</si>
  <si>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</si>
  <si>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</si>
  <si>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</si>
  <si>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</si>
  <si>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</si>
  <si>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</si>
  <si>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</si>
  <si>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</si>
  <si>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</si>
  <si>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</si>
  <si>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</si>
  <si>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</si>
  <si>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</si>
  <si>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</si>
  <si>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</si>
  <si>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</si>
  <si>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</si>
  <si>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</si>
  <si>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</si>
  <si>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</si>
  <si>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</si>
  <si>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</si>
  <si>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</si>
  <si>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</si>
  <si>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</si>
  <si>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</si>
  <si>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</si>
  <si>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</si>
  <si>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</si>
  <si>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</si>
  <si>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</si>
  <si>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</si>
  <si>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</si>
  <si>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</si>
  <si>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</si>
  <si>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</si>
  <si>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</si>
  <si>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</si>
  <si>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</si>
  <si>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</si>
  <si>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</si>
  <si>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</si>
  <si>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</si>
  <si>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</si>
  <si>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</si>
  <si>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</si>
  <si>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</si>
  <si>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</si>
  <si>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</si>
  <si>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</si>
  <si>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</si>
  <si>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</si>
  <si>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</si>
  <si>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</si>
  <si>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</si>
  <si>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</si>
  <si>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</si>
  <si>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</si>
  <si>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</si>
  <si>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</si>
  <si>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</si>
  <si>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</si>
  <si>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</si>
  <si>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</si>
  <si>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</si>
  <si>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</si>
  <si>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</si>
  <si>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</si>
  <si>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</si>
  <si>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</si>
  <si>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</si>
  <si>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</si>
  <si>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</si>
  <si>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</si>
  <si>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</si>
  <si>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</si>
  <si>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</si>
  <si>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</si>
  <si>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</si>
  <si>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</si>
  <si>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</si>
  <si>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</si>
  <si>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</si>
  <si>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</si>
  <si>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</si>
  <si>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</si>
  <si>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</si>
  <si>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</si>
  <si>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</si>
  <si>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</si>
  <si>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</si>
  <si>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</si>
  <si>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</si>
  <si>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</si>
  <si>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</si>
  <si>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</si>
  <si>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</si>
  <si>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</si>
  <si>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</si>
  <si>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</si>
  <si>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</si>
  <si>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</si>
  <si>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</si>
  <si>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</si>
  <si>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</si>
  <si>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</si>
  <si>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</si>
  <si>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</si>
  <si>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</si>
  <si>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</si>
  <si>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</si>
  <si>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</si>
  <si>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</si>
  <si>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</si>
  <si>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</si>
  <si>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</si>
  <si>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</si>
  <si>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</si>
  <si>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</si>
  <si>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</si>
  <si>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</si>
  <si>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</si>
  <si>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</si>
  <si>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</si>
  <si>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</si>
  <si>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</si>
  <si>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</si>
  <si>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</si>
  <si>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</si>
  <si>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</si>
  <si>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</si>
  <si>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</si>
  <si>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</si>
  <si>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</si>
  <si>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</si>
  <si>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</si>
  <si>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</si>
  <si>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</si>
  <si>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</si>
  <si>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</si>
  <si>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</si>
  <si>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</si>
  <si>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</si>
  <si>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</si>
  <si>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</si>
  <si>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</si>
  <si>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</si>
  <si>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</si>
  <si>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</si>
  <si>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</si>
  <si>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</si>
  <si>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</si>
  <si>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</si>
  <si>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</si>
  <si>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</si>
  <si>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</si>
  <si>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</si>
  <si>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</si>
  <si>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</si>
  <si>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</si>
  <si>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</si>
  <si>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</si>
  <si>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</si>
  <si>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</si>
  <si>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</si>
  <si>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</si>
  <si>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</si>
  <si>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</si>
  <si>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</si>
  <si>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</si>
  <si>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</si>
  <si>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</si>
  <si>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</si>
  <si>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</si>
  <si>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</si>
  <si>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</si>
  <si>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</si>
  <si>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</si>
  <si>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</si>
  <si>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</si>
  <si>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</si>
  <si>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</si>
  <si>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</si>
  <si>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</si>
  <si>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</si>
  <si>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</si>
  <si>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</si>
  <si>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</si>
  <si>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</si>
  <si>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</si>
  <si>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</si>
  <si>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</si>
  <si>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</si>
  <si>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</si>
  <si>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</si>
  <si>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</si>
  <si>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</si>
  <si>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</si>
  <si>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</si>
  <si>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</si>
  <si>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</si>
  <si>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</si>
  <si>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</si>
  <si>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</si>
  <si>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</si>
  <si>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</si>
  <si>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</si>
  <si>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</si>
  <si>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</si>
  <si>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</si>
  <si>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</si>
  <si>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</si>
  <si>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</si>
  <si>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</si>
  <si>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</si>
  <si>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</si>
  <si>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</si>
  <si>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</si>
  <si>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</si>
  <si>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</si>
  <si>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</si>
  <si>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</si>
  <si>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</si>
  <si>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</si>
  <si>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</si>
  <si>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</si>
  <si>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</si>
  <si>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</si>
  <si>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</si>
  <si>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</si>
  <si>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</si>
  <si>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</si>
  <si>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</si>
  <si>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</si>
  <si>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</si>
  <si>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</si>
  <si>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</si>
  <si>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</si>
  <si>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</si>
  <si>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</si>
  <si>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</si>
  <si>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</si>
  <si>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</si>
  <si>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</si>
  <si>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</si>
  <si>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</si>
  <si>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</si>
  <si>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</si>
  <si>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</si>
  <si>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</si>
  <si>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</si>
  <si>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</si>
  <si>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</si>
  <si>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</si>
  <si>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</si>
  <si>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</si>
  <si>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</si>
  <si>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</si>
  <si>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</si>
  <si>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</si>
  <si>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</si>
  <si>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</si>
  <si>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</si>
  <si>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</si>
  <si>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</si>
  <si>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</si>
  <si>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</si>
  <si>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</si>
  <si>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</si>
  <si>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</si>
  <si>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</si>
  <si>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</si>
  <si>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</si>
  <si>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</si>
  <si>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</si>
  <si>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</si>
  <si>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</si>
  <si>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</si>
  <si>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</si>
  <si>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</si>
  <si>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</si>
  <si>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</si>
  <si>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</si>
  <si>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</si>
  <si>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</si>
  <si>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</si>
  <si>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</si>
  <si>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</si>
  <si>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</si>
  <si>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</si>
  <si>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</si>
  <si>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</si>
  <si>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</si>
  <si>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</si>
  <si>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</si>
  <si>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</si>
  <si>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</si>
  <si>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</si>
  <si>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</si>
  <si>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</si>
  <si>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</si>
  <si>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</si>
  <si>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</si>
  <si>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</si>
  <si>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</si>
  <si>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</si>
  <si>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</si>
  <si>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</si>
  <si>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</si>
  <si>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</si>
  <si>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</si>
  <si>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</si>
  <si>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</si>
  <si>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</si>
  <si>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</si>
  <si>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</si>
  <si>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</si>
  <si>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</si>
  <si>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</si>
  <si>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</si>
  <si>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</si>
  <si>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</si>
  <si>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</si>
  <si>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</si>
  <si>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</si>
  <si>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</si>
  <si>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</si>
  <si>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</si>
  <si>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</si>
  <si>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</si>
  <si>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</si>
  <si>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</si>
  <si>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</si>
  <si>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</si>
  <si>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</si>
  <si>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</si>
  <si>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</si>
  <si>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</si>
  <si>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</si>
  <si>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</si>
  <si>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</si>
  <si>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</si>
  <si>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</si>
  <si>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</si>
  <si>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</si>
  <si>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</si>
  <si>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</si>
  <si>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</si>
  <si>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</si>
  <si>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</si>
  <si>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</si>
  <si>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</si>
  <si>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</si>
  <si>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</si>
  <si>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</si>
  <si>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</si>
  <si>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</si>
  <si>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</si>
  <si>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</si>
  <si>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</si>
  <si>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</si>
  <si>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</si>
  <si>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</si>
  <si>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</si>
  <si>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</si>
  <si>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</si>
  <si>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</si>
  <si>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</si>
  <si>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</si>
  <si>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</si>
  <si>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</si>
  <si>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</si>
  <si>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</si>
  <si>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</si>
  <si>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</si>
  <si>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</si>
  <si>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</si>
  <si>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</si>
  <si>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</si>
  <si>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</si>
  <si>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</si>
  <si>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</si>
  <si>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</si>
  <si>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</si>
  <si>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</si>
  <si>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</si>
  <si>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</si>
  <si>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</si>
  <si>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</si>
  <si>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</si>
  <si>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</si>
  <si>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</si>
  <si>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</si>
  <si>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</si>
  <si>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</si>
  <si>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</si>
  <si>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</si>
  <si>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</si>
  <si>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</si>
  <si>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</si>
  <si>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</si>
  <si>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</si>
  <si>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</si>
  <si>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</si>
  <si>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</si>
  <si>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</si>
  <si>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</si>
  <si>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</si>
  <si>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</si>
  <si>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</si>
  <si>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</si>
  <si>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</si>
  <si>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</si>
  <si>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</si>
  <si>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</si>
  <si>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</si>
  <si>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</si>
  <si>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</si>
  <si>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</si>
  <si>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</si>
  <si>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</si>
  <si>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</si>
  <si>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</si>
  <si>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</si>
  <si>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</si>
  <si>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</si>
  <si>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</si>
  <si>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</si>
  <si>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</si>
  <si>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</si>
  <si>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</si>
  <si>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</si>
  <si>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</si>
  <si>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</si>
  <si>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</si>
  <si>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</si>
  <si>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</si>
  <si>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</si>
  <si>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</si>
  <si>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</si>
  <si>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</si>
  <si>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</si>
  <si>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</si>
  <si>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</si>
  <si>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</si>
  <si>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</si>
  <si>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</si>
  <si>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</si>
  <si>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</si>
  <si>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</si>
  <si>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</si>
  <si>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</si>
  <si>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</si>
  <si>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</si>
  <si>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</si>
  <si>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</si>
  <si>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</si>
  <si>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</si>
  <si>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</si>
  <si>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</si>
  <si>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</si>
  <si>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</si>
  <si>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</si>
  <si>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</si>
  <si>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</si>
  <si>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</si>
  <si>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</si>
  <si>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</si>
  <si>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</si>
  <si>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</si>
  <si>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</si>
  <si>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</si>
  <si>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</si>
  <si>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</si>
  <si>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</si>
  <si>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</si>
  <si>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</si>
  <si>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</si>
  <si>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</si>
  <si>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</si>
  <si>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</si>
  <si>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</si>
  <si>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</si>
  <si>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</si>
  <si>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</si>
  <si>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</si>
  <si>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</si>
  <si>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</si>
  <si>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</si>
  <si>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</si>
  <si>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</si>
  <si>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</si>
  <si>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</si>
  <si>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</si>
  <si>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</si>
  <si>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</si>
  <si>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</si>
  <si>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</si>
  <si>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</si>
  <si>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</si>
  <si>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</si>
  <si>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</si>
  <si>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</si>
  <si>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</si>
  <si>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</si>
  <si>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</si>
  <si>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</si>
  <si>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</si>
  <si>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</si>
  <si>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</si>
  <si>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</si>
  <si>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</si>
  <si>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</si>
  <si>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</si>
  <si>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</si>
  <si>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</si>
  <si>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</si>
  <si>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</si>
  <si>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</si>
  <si>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</si>
  <si>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</si>
  <si>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</si>
  <si>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</si>
  <si>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</si>
  <si>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</si>
  <si>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</si>
  <si>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</si>
  <si>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</si>
  <si>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</si>
  <si>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</si>
  <si>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</si>
  <si>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</si>
  <si>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</si>
  <si>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</si>
  <si>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</si>
  <si>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</si>
  <si>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</si>
  <si>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</si>
  <si>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</si>
  <si>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</si>
  <si>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</si>
  <si>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</si>
  <si>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</si>
  <si>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</si>
  <si>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</si>
  <si>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</si>
  <si>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</si>
  <si>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</si>
  <si>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</si>
  <si>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</si>
  <si>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</si>
  <si>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</si>
  <si>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</si>
  <si>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</si>
  <si>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</si>
  <si>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</si>
  <si>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</si>
  <si>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</si>
  <si>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</si>
  <si>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</si>
  <si>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</si>
  <si>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</si>
  <si>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</si>
  <si>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</si>
  <si>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</si>
  <si>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</si>
  <si>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</si>
  <si>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</si>
  <si>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</si>
  <si>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</si>
  <si>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</si>
  <si>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</si>
  <si>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</si>
  <si>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</si>
  <si>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</si>
  <si>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</si>
  <si>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</si>
  <si>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</si>
  <si>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</si>
  <si>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</si>
  <si>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</si>
  <si>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</si>
  <si>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</si>
  <si>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</si>
  <si>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</si>
  <si>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</si>
  <si>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</si>
  <si>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</si>
  <si>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</si>
  <si>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</si>
  <si>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</si>
  <si>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</si>
  <si>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</si>
  <si>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</si>
  <si>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</si>
  <si>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</si>
  <si>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</si>
  <si>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</si>
  <si>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</si>
  <si>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</si>
  <si>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</si>
  <si>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</si>
  <si>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</si>
  <si>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</si>
  <si>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</si>
  <si>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</si>
  <si>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</si>
  <si>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</si>
  <si>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</si>
  <si>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</si>
  <si>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</si>
  <si>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</si>
  <si>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</si>
  <si>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</si>
  <si>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</si>
  <si>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</si>
  <si>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</si>
  <si>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</si>
  <si>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</si>
  <si>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</si>
  <si>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</si>
  <si>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</si>
  <si>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</si>
  <si>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</si>
  <si>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</si>
  <si>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</si>
  <si>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</si>
  <si>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</si>
  <si>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</si>
  <si>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</si>
  <si>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</si>
  <si>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</si>
  <si>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</si>
  <si>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</si>
  <si>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</si>
  <si>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</si>
  <si>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</si>
  <si>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</si>
  <si>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</si>
  <si>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</si>
  <si>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</si>
  <si>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</si>
  <si>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</si>
  <si>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</si>
  <si>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</si>
  <si>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</si>
  <si>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</si>
  <si>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</si>
  <si>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</si>
  <si>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</si>
  <si>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</si>
  <si>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</si>
  <si>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</si>
  <si>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</si>
  <si>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</si>
  <si>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</si>
  <si>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</si>
  <si>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</si>
  <si>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</si>
  <si>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</si>
  <si>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</si>
  <si>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</si>
  <si>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</si>
  <si>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</si>
  <si>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</si>
  <si>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</si>
  <si>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</si>
  <si>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</si>
  <si>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</si>
  <si>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</si>
  <si>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</si>
  <si>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</si>
  <si>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</si>
  <si>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</si>
  <si>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</si>
  <si>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</si>
  <si>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</si>
  <si>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</si>
  <si>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</si>
  <si>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</si>
  <si>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</si>
  <si>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</si>
  <si>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</si>
  <si>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</si>
  <si>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</si>
  <si>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</si>
  <si>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</si>
  <si>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</si>
  <si>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</si>
  <si>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</si>
  <si>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</si>
  <si>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</si>
  <si>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</si>
  <si>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</si>
  <si>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</si>
  <si>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</si>
  <si>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</si>
  <si>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</si>
  <si>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</si>
  <si>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</si>
  <si>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</si>
  <si>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</si>
  <si>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</si>
  <si>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</si>
  <si>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</si>
  <si>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</si>
  <si>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</si>
  <si>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</si>
  <si>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</si>
  <si>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</si>
  <si>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</si>
  <si>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</si>
  <si>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</si>
  <si>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</si>
  <si>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</si>
  <si>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</si>
  <si>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</si>
  <si>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</si>
  <si>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</si>
  <si>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</si>
  <si>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</si>
  <si>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</si>
  <si>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</si>
  <si>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</si>
  <si>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</si>
  <si>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</si>
  <si>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</si>
  <si>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</si>
  <si>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</si>
  <si>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</si>
  <si>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</si>
  <si>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</si>
  <si>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</si>
  <si>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</si>
  <si>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</si>
  <si>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</si>
  <si>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</si>
  <si>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</si>
  <si>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</si>
  <si>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</si>
  <si>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</si>
  <si>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</si>
  <si>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</si>
  <si>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</si>
  <si>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</si>
  <si>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</si>
  <si>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</si>
  <si>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</si>
  <si>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</si>
  <si>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</si>
  <si>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</si>
  <si>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</si>
  <si>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</si>
  <si>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</si>
  <si>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</si>
  <si>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</si>
  <si>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</si>
  <si>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</si>
  <si>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</si>
  <si>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</si>
  <si>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</si>
  <si>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</si>
  <si>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</si>
  <si>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</si>
  <si>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</si>
  <si>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</si>
  <si>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</si>
  <si>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</si>
  <si>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</si>
  <si>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</si>
  <si>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</si>
  <si>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</si>
  <si>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</si>
  <si>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</si>
  <si>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</si>
  <si>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</si>
  <si>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</si>
  <si>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</si>
  <si>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</si>
  <si>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</si>
  <si>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</si>
  <si>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</si>
  <si>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</si>
  <si>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</si>
  <si>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</si>
  <si>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</si>
  <si>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</si>
  <si>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</si>
  <si>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</si>
  <si>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</si>
  <si>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</si>
  <si>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</si>
  <si>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</si>
  <si>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</si>
  <si>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</si>
  <si>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</si>
  <si>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</si>
  <si>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</si>
  <si>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</si>
  <si>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</si>
  <si>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</si>
  <si>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</si>
  <si>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</si>
  <si>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</si>
  <si>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</si>
  <si>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</si>
  <si>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</si>
  <si>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</si>
  <si>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</si>
  <si>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</si>
  <si>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</si>
  <si>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</si>
  <si>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</si>
  <si>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</si>
  <si>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</si>
  <si>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</si>
  <si>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</si>
  <si>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</si>
  <si>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</si>
  <si>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</si>
  <si>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</si>
  <si>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</si>
  <si>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</si>
  <si>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</si>
  <si>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</si>
  <si>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</si>
  <si>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</si>
  <si>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</si>
  <si>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</si>
  <si>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</si>
  <si>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</si>
  <si>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</si>
  <si>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</si>
  <si>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</si>
  <si>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</si>
  <si>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</si>
  <si>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</si>
  <si>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</si>
  <si>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</si>
  <si>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</si>
  <si>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</si>
  <si>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</si>
  <si>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</si>
  <si>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</si>
  <si>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</si>
  <si>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</si>
  <si>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</si>
  <si>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</si>
  <si>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</si>
  <si>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</si>
  <si>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</si>
  <si>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</si>
  <si>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</si>
  <si>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</si>
  <si>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</si>
  <si>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</si>
  <si>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</si>
  <si>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</si>
  <si>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</si>
  <si>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</si>
  <si>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</si>
  <si>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</si>
  <si>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</si>
  <si>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</si>
  <si>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</si>
  <si>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</si>
  <si>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</si>
  <si>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</si>
  <si>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</si>
  <si>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</si>
  <si>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</si>
  <si>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</si>
  <si>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</si>
  <si>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</si>
  <si>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</si>
  <si>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</si>
  <si>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</si>
  <si>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</si>
  <si>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</si>
  <si>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</si>
  <si>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</si>
  <si>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</si>
  <si>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</si>
  <si>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</si>
  <si>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</si>
  <si>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</si>
  <si>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</si>
  <si>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</si>
  <si>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</si>
  <si>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</si>
  <si>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</si>
  <si>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</si>
  <si>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</si>
  <si>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</si>
  <si>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</si>
  <si>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</si>
  <si>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</si>
  <si>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</si>
  <si>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</si>
  <si>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</si>
  <si>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</si>
  <si>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</si>
  <si>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</si>
  <si>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</si>
  <si>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</si>
  <si>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</si>
  <si>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</si>
  <si>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</si>
  <si>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</si>
  <si>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</si>
  <si>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</si>
  <si>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</si>
  <si>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</si>
  <si>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</si>
  <si>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</si>
  <si>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</si>
  <si>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</si>
  <si>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</si>
  <si>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</si>
  <si>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</si>
  <si>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</si>
  <si>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</si>
  <si>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</si>
  <si>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</si>
  <si>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</si>
  <si>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</si>
  <si>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</si>
  <si>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</si>
  <si>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</si>
  <si>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</si>
  <si>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</si>
  <si>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</si>
  <si>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</si>
  <si>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</si>
  <si>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</si>
  <si>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</si>
  <si>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</si>
  <si>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</si>
  <si>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</si>
  <si>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</si>
  <si>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</si>
  <si>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</si>
  <si>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</si>
  <si>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</si>
  <si>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</si>
  <si>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</si>
  <si>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</si>
  <si>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</si>
  <si>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</si>
  <si>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</si>
  <si>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</si>
  <si>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</si>
  <si>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</si>
  <si>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</si>
  <si>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</si>
  <si>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</si>
  <si>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</si>
  <si>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</si>
  <si>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</si>
  <si>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</si>
  <si>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</si>
  <si>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</si>
  <si>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</si>
  <si>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</si>
  <si>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</si>
  <si>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</si>
  <si>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</si>
  <si>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</si>
  <si>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</si>
  <si>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</si>
  <si>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</si>
  <si>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</si>
  <si>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</si>
  <si>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</si>
  <si>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</si>
  <si>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</si>
  <si>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</si>
  <si>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</si>
  <si>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</si>
  <si>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</si>
  <si>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</si>
  <si>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</si>
  <si>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</si>
  <si>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</si>
  <si>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</si>
  <si>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</si>
  <si>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</si>
  <si>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</si>
  <si>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</si>
  <si>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</si>
  <si>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</si>
  <si>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</si>
  <si>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</si>
  <si>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</si>
  <si>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</si>
  <si>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</si>
  <si>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</si>
  <si>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</si>
  <si>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</si>
  <si>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</si>
  <si>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</si>
  <si>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</si>
  <si>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</si>
  <si>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</si>
  <si>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</si>
  <si>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</si>
  <si>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</si>
  <si>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</si>
  <si>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</si>
  <si>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</si>
  <si>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</si>
  <si>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</si>
  <si>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</si>
  <si>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</si>
  <si>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</si>
  <si>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</si>
  <si>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</si>
  <si>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</si>
  <si>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</si>
  <si>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</si>
  <si>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</si>
  <si>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</si>
  <si>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</si>
  <si>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</si>
  <si>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</si>
  <si>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</si>
  <si>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</si>
  <si>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</si>
  <si>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</si>
  <si>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</si>
  <si>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</si>
  <si>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</si>
  <si>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</si>
  <si>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</si>
  <si>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</si>
  <si>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</si>
  <si>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</si>
  <si>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</si>
  <si>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</si>
  <si>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</si>
  <si>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</si>
  <si>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</si>
  <si>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</si>
  <si>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</si>
  <si>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</si>
  <si>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</si>
  <si>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</si>
  <si>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</si>
  <si>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</si>
  <si>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</si>
  <si>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</si>
  <si>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</si>
  <si>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</si>
  <si>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</si>
  <si>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</si>
  <si>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</si>
  <si>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</si>
  <si>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</si>
  <si>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</si>
  <si>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</si>
  <si>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</si>
  <si>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</si>
  <si>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</si>
  <si>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</si>
  <si>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</si>
  <si>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</si>
  <si>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</si>
  <si>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</si>
  <si>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</si>
  <si>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</si>
  <si>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</si>
  <si>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</si>
  <si>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</si>
  <si>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</si>
  <si>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</si>
  <si>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</si>
  <si>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</si>
  <si>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</si>
  <si>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</si>
  <si>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</si>
  <si>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</si>
  <si>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</si>
  <si>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</si>
  <si>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</si>
  <si>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</si>
  <si>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</si>
  <si>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</si>
  <si>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</si>
  <si>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</si>
  <si>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</si>
  <si>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</si>
  <si>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</si>
  <si>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</si>
  <si>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</si>
  <si>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</si>
  <si>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</si>
  <si>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</si>
  <si>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</si>
  <si>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</si>
  <si>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</si>
  <si>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</si>
  <si>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</si>
  <si>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</si>
  <si>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</si>
  <si>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</si>
  <si>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</si>
  <si>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</si>
  <si>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</si>
  <si>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</si>
  <si>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</si>
  <si>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</si>
  <si>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</si>
  <si>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</si>
  <si>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</si>
  <si>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</si>
  <si>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</si>
  <si>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</si>
  <si>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</si>
  <si>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</si>
  <si>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</si>
  <si>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</si>
  <si>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</si>
  <si>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</si>
  <si>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</si>
  <si>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</si>
  <si>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</si>
  <si>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</si>
  <si>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</si>
  <si>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</si>
  <si>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</si>
  <si>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</si>
  <si>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</si>
  <si>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</si>
  <si>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</si>
  <si>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</si>
  <si>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</si>
  <si>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</si>
  <si>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</si>
  <si>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</si>
  <si>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</si>
  <si>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</si>
  <si>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</si>
  <si>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</si>
  <si>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</si>
  <si>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</si>
  <si>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</si>
  <si>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</si>
  <si>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</si>
  <si>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</si>
  <si>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</si>
  <si>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</si>
  <si>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</si>
  <si>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</si>
  <si>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</si>
  <si>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</si>
  <si>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</si>
  <si>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</si>
  <si>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</si>
  <si>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</si>
  <si>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</si>
  <si>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</si>
  <si>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</si>
  <si>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</si>
  <si>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</si>
  <si>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</si>
  <si>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</si>
  <si>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</si>
  <si>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</si>
  <si>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</si>
  <si>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</si>
  <si>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</si>
  <si>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</si>
  <si>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</si>
  <si>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</si>
  <si>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</si>
  <si>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</si>
  <si>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</si>
  <si>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</si>
  <si>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</si>
  <si>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</si>
  <si>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</si>
  <si>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</si>
  <si>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</si>
  <si>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</si>
  <si>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</si>
  <si>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</si>
  <si>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</si>
  <si>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</si>
  <si>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</si>
  <si>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</si>
  <si>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</si>
  <si>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</si>
  <si>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</si>
  <si>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</si>
  <si>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</si>
  <si>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</si>
  <si>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</si>
  <si>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</si>
  <si>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</si>
  <si>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</si>
  <si>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</si>
  <si>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</si>
  <si>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</si>
  <si>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</si>
  <si>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</si>
  <si>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</si>
  <si>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</si>
  <si>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</si>
  <si>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</si>
  <si>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</si>
  <si>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</si>
  <si>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</si>
  <si>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</si>
  <si>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</si>
  <si>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</si>
  <si>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</si>
  <si>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</si>
  <si>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</si>
  <si>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</si>
  <si>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</si>
  <si>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</si>
  <si>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</si>
  <si>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</si>
  <si>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</si>
  <si>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</si>
  <si>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</si>
  <si>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</si>
  <si>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</si>
  <si>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</si>
  <si>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</si>
  <si>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</si>
  <si>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</si>
  <si>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</si>
  <si>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</si>
  <si>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</si>
  <si>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</si>
  <si>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</si>
  <si>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</si>
  <si>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</si>
  <si>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</si>
  <si>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</si>
  <si>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</si>
  <si>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</si>
  <si>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</si>
  <si>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</si>
  <si>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</si>
  <si>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</si>
  <si>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</si>
  <si>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</si>
  <si>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</si>
  <si>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</si>
  <si>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</si>
  <si>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</si>
  <si>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</si>
  <si>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</si>
  <si>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</si>
  <si>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</si>
  <si>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</si>
  <si>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</si>
  <si>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</si>
  <si>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</si>
  <si>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</si>
  <si>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</si>
  <si>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</si>
  <si>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</si>
  <si>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</si>
  <si>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</si>
  <si>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</si>
  <si>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</si>
  <si>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</si>
  <si>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</si>
  <si>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</si>
  <si>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</si>
  <si>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</si>
  <si>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</si>
  <si>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</si>
  <si>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</si>
  <si>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</si>
  <si>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</si>
  <si>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</si>
  <si>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</si>
  <si>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</si>
  <si>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</si>
  <si>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</si>
  <si>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</si>
  <si>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</si>
  <si>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</si>
  <si>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</si>
  <si>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</si>
  <si>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</si>
  <si>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</si>
  <si>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</si>
  <si>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</si>
  <si>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</si>
  <si>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</si>
  <si>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</si>
  <si>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</si>
  <si>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</si>
  <si>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</si>
  <si>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</si>
  <si>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</si>
  <si>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</si>
  <si>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</si>
  <si>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</si>
  <si>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</si>
  <si>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</si>
  <si>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</si>
  <si>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</si>
  <si>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</si>
  <si>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</si>
  <si>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</si>
  <si>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</si>
  <si>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</si>
  <si>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</si>
  <si>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</si>
  <si>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</si>
  <si>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</si>
  <si>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</si>
  <si>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</si>
  <si>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</si>
  <si>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</si>
  <si>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</si>
  <si>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</si>
  <si>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</si>
  <si>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</si>
  <si>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</si>
  <si>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</si>
  <si>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</si>
  <si>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</si>
  <si>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</si>
  <si>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</si>
  <si>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</si>
  <si>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</si>
  <si>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</si>
  <si>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</si>
  <si>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</si>
  <si>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</si>
  <si>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</si>
  <si>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</si>
  <si>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</si>
  <si>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</si>
  <si>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</si>
  <si>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</si>
  <si>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</si>
  <si>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</si>
  <si>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</si>
  <si>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</si>
  <si>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</si>
  <si>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</si>
  <si>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</si>
  <si>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</si>
  <si>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</si>
  <si>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</si>
  <si>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</si>
  <si>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</si>
  <si>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</si>
  <si>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</si>
  <si>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</si>
  <si>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</si>
  <si>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</si>
  <si>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</si>
  <si>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</si>
  <si>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</si>
  <si>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</si>
  <si>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</si>
  <si>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</si>
  <si>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</si>
  <si>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</si>
  <si>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</si>
  <si>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</si>
  <si>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</si>
  <si>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</si>
  <si>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</si>
  <si>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</si>
  <si>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</si>
  <si>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</si>
  <si>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</si>
  <si>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</si>
  <si>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</si>
  <si>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</si>
  <si>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</si>
  <si>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</si>
  <si>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</si>
  <si>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</si>
  <si>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</si>
  <si>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</si>
  <si>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</si>
  <si>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</si>
  <si>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</si>
  <si>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</si>
  <si>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</si>
  <si>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</si>
  <si>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</si>
  <si>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</si>
  <si>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</si>
  <si>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</si>
  <si>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</si>
  <si>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</si>
  <si>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</si>
  <si>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</si>
  <si>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</si>
  <si>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</si>
  <si>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</si>
  <si>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</si>
  <si>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</si>
  <si>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</si>
  <si>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</si>
  <si>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</si>
  <si>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</si>
  <si>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</si>
  <si>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</si>
  <si>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</si>
  <si>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</si>
  <si>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</si>
  <si>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</si>
  <si>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</si>
  <si>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</si>
  <si>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</si>
  <si>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</si>
  <si>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</si>
  <si>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</si>
  <si>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</si>
  <si>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</si>
  <si>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</si>
  <si>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</si>
  <si>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</si>
  <si>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</si>
  <si>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</si>
  <si>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</si>
  <si>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</si>
  <si>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</si>
  <si>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</si>
  <si>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</si>
  <si>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</si>
  <si>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</si>
  <si>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</si>
  <si>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</si>
  <si>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</si>
  <si>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</si>
  <si>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</si>
  <si>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</si>
  <si>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</si>
  <si>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</si>
  <si>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</si>
  <si>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</si>
  <si>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</si>
  <si>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</si>
  <si>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</si>
  <si>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</si>
  <si>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</si>
  <si>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</si>
  <si>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</si>
  <si>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</si>
  <si>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</si>
  <si>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</si>
  <si>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</si>
  <si>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</si>
  <si>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</si>
  <si>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</si>
  <si>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</si>
  <si>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</si>
  <si>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</si>
  <si>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</si>
  <si>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</si>
  <si>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</si>
  <si>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</si>
  <si>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</si>
  <si>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</si>
  <si>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</si>
  <si>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</si>
  <si>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</si>
  <si>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</si>
  <si>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</si>
  <si>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</si>
  <si>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</si>
  <si>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</si>
  <si>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</si>
  <si>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</si>
  <si>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</si>
  <si>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</si>
  <si>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</si>
  <si>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</si>
  <si>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</si>
  <si>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</si>
  <si>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</si>
  <si>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</si>
  <si>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</si>
  <si>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</si>
  <si>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</si>
  <si>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</si>
  <si>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</si>
  <si>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</si>
  <si>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</si>
  <si>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</si>
  <si>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</si>
  <si>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</si>
  <si>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</si>
  <si>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</si>
  <si>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</si>
  <si>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</si>
  <si>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</si>
  <si>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</si>
  <si>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</si>
  <si>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</si>
  <si>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</si>
  <si>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</si>
  <si>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</si>
  <si>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</si>
  <si>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</si>
  <si>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</si>
  <si>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</si>
  <si>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</si>
  <si>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</si>
  <si>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</si>
  <si>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</si>
  <si>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</si>
  <si>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</si>
  <si>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</si>
  <si>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</si>
  <si>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</si>
  <si>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</si>
  <si>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</si>
  <si>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</si>
  <si>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</si>
  <si>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</si>
  <si>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</si>
  <si>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</si>
  <si>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</si>
  <si>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</si>
  <si>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</si>
  <si>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</si>
  <si>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</si>
  <si>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</si>
  <si>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</si>
  <si>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</si>
  <si>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</si>
  <si>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</si>
  <si>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</si>
  <si>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</si>
  <si>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</si>
  <si>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</si>
  <si>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</si>
  <si>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</si>
  <si>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</si>
  <si>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</si>
  <si>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</si>
  <si>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</si>
  <si>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</si>
  <si>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</si>
  <si>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</si>
  <si>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</si>
  <si>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</si>
  <si>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</si>
  <si>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</si>
  <si>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</si>
  <si>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</si>
  <si>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</si>
  <si>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</si>
  <si>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</si>
  <si>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</si>
  <si>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</si>
  <si>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</si>
  <si>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</si>
  <si>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</si>
  <si>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</si>
  <si>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</si>
  <si>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</si>
  <si>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</si>
  <si>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</si>
  <si>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</si>
  <si>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</si>
  <si>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</si>
  <si>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</si>
  <si>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</si>
  <si>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</si>
  <si>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</si>
  <si>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</si>
  <si>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</si>
  <si>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</si>
  <si>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</si>
  <si>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</si>
  <si>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</si>
  <si>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</si>
  <si>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</si>
  <si>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</si>
  <si>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</si>
  <si>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</si>
  <si>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</si>
  <si>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</si>
  <si>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</si>
  <si>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</si>
  <si>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</si>
  <si>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</si>
  <si>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</si>
  <si>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</si>
  <si>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</si>
  <si>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</si>
  <si>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</si>
  <si>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</si>
  <si>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</si>
  <si>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</si>
  <si>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</si>
  <si>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</si>
  <si>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</si>
  <si>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</si>
  <si>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</si>
  <si>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</si>
  <si>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</si>
  <si>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</si>
  <si>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</si>
  <si>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</si>
  <si>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</si>
  <si>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</si>
  <si>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</si>
  <si>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</si>
  <si>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</si>
  <si>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</si>
  <si>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</si>
  <si>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</si>
  <si>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</si>
  <si>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</si>
  <si>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</si>
  <si>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</si>
  <si>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</si>
  <si>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</si>
  <si>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</si>
  <si>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</si>
  <si>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</si>
  <si>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</si>
  <si>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</si>
  <si>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</si>
  <si>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</si>
  <si>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</si>
  <si>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</si>
  <si>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</si>
  <si>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</si>
  <si>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</si>
  <si>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</si>
  <si>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</si>
  <si>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</si>
  <si>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</si>
  <si>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</si>
  <si>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</si>
  <si>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</si>
  <si>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</si>
  <si>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</si>
  <si>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</si>
  <si>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</si>
  <si>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</si>
  <si>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</si>
  <si>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</si>
  <si>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</si>
  <si>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</si>
  <si>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</si>
  <si>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</si>
  <si>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</si>
  <si>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</si>
  <si>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</si>
  <si>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</si>
  <si>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</si>
  <si>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</si>
  <si>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</si>
  <si>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</si>
  <si>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</si>
  <si>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</si>
  <si>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</si>
  <si>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</si>
  <si>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</si>
  <si>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</si>
  <si>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</si>
  <si>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</si>
  <si>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</si>
  <si>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</si>
  <si>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</si>
  <si>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</si>
  <si>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</si>
  <si>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</si>
  <si>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</si>
  <si>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</si>
  <si>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</si>
  <si>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</si>
  <si>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</si>
  <si>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</si>
  <si>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</si>
  <si>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</si>
  <si>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</si>
  <si>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</si>
  <si>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</si>
  <si>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</si>
  <si>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</si>
  <si>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</si>
  <si>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</si>
  <si>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</si>
  <si>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</si>
  <si>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</si>
  <si>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</si>
  <si>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</si>
  <si>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</si>
  <si>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</si>
  <si>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</si>
  <si>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</si>
  <si>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</si>
  <si>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</si>
  <si>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</si>
  <si>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</si>
  <si>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</si>
  <si>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</si>
  <si>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</si>
  <si>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</si>
  <si>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</si>
  <si>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</si>
  <si>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</si>
  <si>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</si>
  <si>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</si>
  <si>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</si>
  <si>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</si>
  <si>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</si>
  <si>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</si>
  <si>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</si>
  <si>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</si>
  <si>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</si>
  <si>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</si>
  <si>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</si>
  <si>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</si>
  <si>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</si>
  <si>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</si>
  <si>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</si>
  <si>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</si>
  <si>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</si>
  <si>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</si>
  <si>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</si>
  <si>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</si>
  <si>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</si>
  <si>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</si>
  <si>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</si>
  <si>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</si>
  <si>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</si>
  <si>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</si>
  <si>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</si>
  <si>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</si>
  <si>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</si>
  <si>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</si>
  <si>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</si>
  <si>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</si>
  <si>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</si>
  <si>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</si>
  <si>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</si>
  <si>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</si>
  <si>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</si>
  <si>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</si>
  <si>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</si>
  <si>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</si>
  <si>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</si>
  <si>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</si>
  <si>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</si>
  <si>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</si>
  <si>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</si>
  <si>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</si>
  <si>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</si>
  <si>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</si>
  <si>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</si>
  <si>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</si>
  <si>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</si>
  <si>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</si>
  <si>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</si>
  <si>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</si>
  <si>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</si>
  <si>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</si>
  <si>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</si>
  <si>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</si>
  <si>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</si>
  <si>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</si>
  <si>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</si>
  <si>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</si>
  <si>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</si>
  <si>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</si>
  <si>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</si>
  <si>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</si>
  <si>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</si>
  <si>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</si>
  <si>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</si>
  <si>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</si>
  <si>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</si>
  <si>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</si>
  <si>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</si>
  <si>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</si>
  <si>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</si>
  <si>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</si>
  <si>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</si>
  <si>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</si>
  <si>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</si>
  <si>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</si>
  <si>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</si>
  <si>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</si>
  <si>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</si>
  <si>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</si>
  <si>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</si>
  <si>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</si>
  <si>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</si>
  <si>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</si>
  <si>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</si>
  <si>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</si>
  <si>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</si>
  <si>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</si>
  <si>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</si>
  <si>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</si>
  <si>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</si>
  <si>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</si>
  <si>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</si>
  <si>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</si>
  <si>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</si>
  <si>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</si>
  <si>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</si>
  <si>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</si>
  <si>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</si>
  <si>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</si>
  <si>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</si>
  <si>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</si>
  <si>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</si>
  <si>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</si>
  <si>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</si>
  <si>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</si>
  <si>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</si>
  <si>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</si>
  <si>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</si>
  <si>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</si>
  <si>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</si>
  <si>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</si>
  <si>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</si>
  <si>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</si>
  <si>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</si>
  <si>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</si>
  <si>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</si>
  <si>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</si>
  <si>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</si>
  <si>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</si>
  <si>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</si>
  <si>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</si>
  <si>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</si>
  <si>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</si>
  <si>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</si>
  <si>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</si>
  <si>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</si>
  <si>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</si>
  <si>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</si>
  <si>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</si>
  <si>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</si>
  <si>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</si>
  <si>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</si>
  <si>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</si>
  <si>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</si>
  <si>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</si>
  <si>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</si>
  <si>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</si>
  <si>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</si>
  <si>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</si>
  <si>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</si>
  <si>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</si>
  <si>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</si>
  <si>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</si>
  <si>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</si>
  <si>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</si>
  <si>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</si>
  <si>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</si>
  <si>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</si>
  <si>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</si>
  <si>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</si>
  <si>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</si>
  <si>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</si>
  <si>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</si>
  <si>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</si>
  <si>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</si>
  <si>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</si>
  <si>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</si>
  <si>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</si>
  <si>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</si>
  <si>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</si>
  <si>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</si>
  <si>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</si>
  <si>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</si>
  <si>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</si>
  <si>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</si>
  <si>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</si>
  <si>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</si>
  <si>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</si>
  <si>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</si>
  <si>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</si>
  <si>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</si>
  <si>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</si>
  <si>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</si>
  <si>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</si>
  <si>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</si>
  <si>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</si>
  <si>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</si>
  <si>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</si>
  <si>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</si>
  <si>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</si>
  <si>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</si>
  <si>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</si>
  <si>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</si>
  <si>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</si>
  <si>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</si>
  <si>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</si>
  <si>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</si>
  <si>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</si>
  <si>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</si>
  <si>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</si>
  <si>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</si>
  <si>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</si>
  <si>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</si>
  <si>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</si>
  <si>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</si>
  <si>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</si>
  <si>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</si>
  <si>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</si>
  <si>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</si>
  <si>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</si>
  <si>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</si>
  <si>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</si>
  <si>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</si>
  <si>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</si>
  <si>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</si>
  <si>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</si>
  <si>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</si>
  <si>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</si>
  <si>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</si>
  <si>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</si>
  <si>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</si>
  <si>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</si>
  <si>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</si>
  <si>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</si>
  <si>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</si>
  <si>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</si>
  <si>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</si>
  <si>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</si>
  <si>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</si>
  <si>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</si>
  <si>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</si>
  <si>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</si>
  <si>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</si>
  <si>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</si>
  <si>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</si>
  <si>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</si>
  <si>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</si>
  <si>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</si>
  <si>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</si>
  <si>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</si>
  <si>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</si>
  <si>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</si>
  <si>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</si>
  <si>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</si>
  <si>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</si>
  <si>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</si>
  <si>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</si>
  <si>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</si>
  <si>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</si>
  <si>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</si>
  <si>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</si>
  <si>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</si>
  <si>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</si>
  <si>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</si>
  <si>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</si>
  <si>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</si>
  <si>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</si>
  <si>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</si>
  <si>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</si>
  <si>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</si>
  <si>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</si>
  <si>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</si>
  <si>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</si>
  <si>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</si>
  <si>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</si>
  <si>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</si>
  <si>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</si>
  <si>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</si>
  <si>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</si>
  <si>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</si>
  <si>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</si>
  <si>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</si>
  <si>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</si>
  <si>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</si>
  <si>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</si>
  <si>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</si>
  <si>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</si>
  <si>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</si>
  <si>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</si>
  <si>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</si>
  <si>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</si>
  <si>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</si>
  <si>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</si>
  <si>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</si>
  <si>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</si>
  <si>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</si>
  <si>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</si>
  <si>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</si>
  <si>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</si>
  <si>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</si>
  <si>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</si>
  <si>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</si>
  <si>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</si>
  <si>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</si>
  <si>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</si>
  <si>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</si>
  <si>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</si>
  <si>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</si>
  <si>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</si>
  <si>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</si>
  <si>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</si>
  <si>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</si>
  <si>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</si>
  <si>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</si>
  <si>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</si>
  <si>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</si>
  <si>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</si>
  <si>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</si>
  <si>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</si>
  <si>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</si>
  <si>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</si>
  <si>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</si>
  <si>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</si>
  <si>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</si>
  <si>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</si>
  <si>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</si>
  <si>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</si>
  <si>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</si>
  <si>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</si>
  <si>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</si>
  <si>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</si>
  <si>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</si>
  <si>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</si>
  <si>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</si>
  <si>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</si>
  <si>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</si>
  <si>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</si>
  <si>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</si>
  <si>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</si>
  <si>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</si>
  <si>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</si>
  <si>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</si>
  <si>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</si>
  <si>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</si>
  <si>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</si>
  <si>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</si>
  <si>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</si>
  <si>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</si>
  <si>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</si>
  <si>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</si>
  <si>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</si>
  <si>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</si>
  <si>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</si>
  <si>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</si>
  <si>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</si>
  <si>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</si>
  <si>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</si>
  <si>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</si>
  <si>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</si>
  <si>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</si>
  <si>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</si>
  <si>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</si>
  <si>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</si>
  <si>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</si>
  <si>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</si>
  <si>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</si>
  <si>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</si>
  <si>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</si>
  <si>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</si>
  <si>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</si>
  <si>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</si>
  <si>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</si>
  <si>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</si>
  <si>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</si>
  <si>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</si>
  <si>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</si>
  <si>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</si>
  <si>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</si>
  <si>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</si>
  <si>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</si>
  <si>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</si>
  <si>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</si>
  <si>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</si>
  <si>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</si>
  <si>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</si>
  <si>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</si>
  <si>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</si>
  <si>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</si>
  <si>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</si>
  <si>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</si>
  <si>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</si>
  <si>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</si>
  <si>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</si>
  <si>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</si>
  <si>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</si>
  <si>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</si>
  <si>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</si>
  <si>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</si>
  <si>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</si>
  <si>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</si>
  <si>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</si>
  <si>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</si>
  <si>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</si>
  <si>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</si>
  <si>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</si>
  <si>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</si>
  <si>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</si>
  <si>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</si>
  <si>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</si>
  <si>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</si>
  <si>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</si>
  <si>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</si>
  <si>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</si>
  <si>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</si>
  <si>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</si>
  <si>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</si>
  <si>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</si>
  <si>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</si>
  <si>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</si>
  <si>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</si>
  <si>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</si>
  <si>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</si>
  <si>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</si>
  <si>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</si>
  <si>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</si>
  <si>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</si>
  <si>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</si>
  <si>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</si>
  <si>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</si>
  <si>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</si>
  <si>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</si>
  <si>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</si>
  <si>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</si>
  <si>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</si>
  <si>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</si>
  <si>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</si>
  <si>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</si>
  <si>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</si>
  <si>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</si>
  <si>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</si>
  <si>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</si>
  <si>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</si>
  <si>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</si>
  <si>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</si>
  <si>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</si>
  <si>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</si>
  <si>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</si>
  <si>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</si>
  <si>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</si>
  <si>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</si>
  <si>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</si>
  <si>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</si>
  <si>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</si>
  <si>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</si>
  <si>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</si>
  <si>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</si>
  <si>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</si>
  <si>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</si>
  <si>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</si>
  <si>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</si>
  <si>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</si>
  <si>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</si>
  <si>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</si>
  <si>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</si>
  <si>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</si>
  <si>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</si>
  <si>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</si>
  <si>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</si>
  <si>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</si>
  <si>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</si>
  <si>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</si>
  <si>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</si>
  <si>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</si>
  <si>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</si>
  <si>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</si>
  <si>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</si>
  <si>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</si>
  <si>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</si>
  <si>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</si>
  <si>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</si>
  <si>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</si>
  <si>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</si>
  <si>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</si>
  <si>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</si>
  <si>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</si>
  <si>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</si>
  <si>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</si>
  <si>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</si>
  <si>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</si>
  <si>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</si>
  <si>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</si>
  <si>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</si>
  <si>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</si>
  <si>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</si>
  <si>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</si>
  <si>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</si>
  <si>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</si>
  <si>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</si>
  <si>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</si>
  <si>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</si>
  <si>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</si>
  <si>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</si>
  <si>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</si>
  <si>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</si>
  <si>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</si>
  <si>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</si>
  <si>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</si>
  <si>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</si>
  <si>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</si>
  <si>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</si>
  <si>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</si>
  <si>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</si>
  <si>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</si>
  <si>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</si>
  <si>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</si>
  <si>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</si>
  <si>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</si>
  <si>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</si>
  <si>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</si>
  <si>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</si>
  <si>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</si>
  <si>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</si>
  <si>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</si>
  <si>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</si>
  <si>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</si>
  <si>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</si>
  <si>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</si>
  <si>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</si>
  <si>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</si>
  <si>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</si>
  <si>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</si>
  <si>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</si>
  <si>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</si>
  <si>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</si>
  <si>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</si>
  <si>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</si>
  <si>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</si>
  <si>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</si>
  <si>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</si>
  <si>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</si>
  <si>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</si>
  <si>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</si>
  <si>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</si>
  <si>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</si>
  <si>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</si>
  <si>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</si>
  <si>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</si>
  <si>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</si>
  <si>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</si>
  <si>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</si>
  <si>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</si>
  <si>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</si>
  <si>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</si>
  <si>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</si>
  <si>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</si>
  <si>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</si>
  <si>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</si>
  <si>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</si>
  <si>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</si>
  <si>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</si>
  <si>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</si>
  <si>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</si>
  <si>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</si>
  <si>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</si>
  <si>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</si>
  <si>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</si>
  <si>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</si>
  <si>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</si>
  <si>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</si>
  <si>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</si>
  <si>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</si>
  <si>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</si>
  <si>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</si>
  <si>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</si>
  <si>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</si>
  <si>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</si>
  <si>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</si>
  <si>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</si>
  <si>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</si>
  <si>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</si>
  <si>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</si>
  <si>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</si>
  <si>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</si>
  <si>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</si>
  <si>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</si>
  <si>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</si>
  <si>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</si>
  <si>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</si>
  <si>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</si>
  <si>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</si>
  <si>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</si>
  <si>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</si>
  <si>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</si>
  <si>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</si>
  <si>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</si>
  <si>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</si>
  <si>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</si>
  <si>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</si>
  <si>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</si>
  <si>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</si>
  <si>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</si>
  <si>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</si>
  <si>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</si>
  <si>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</si>
  <si>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</si>
  <si>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</si>
  <si>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</si>
  <si>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</si>
  <si>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</si>
  <si>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</si>
  <si>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</si>
  <si>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</si>
  <si>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</si>
  <si>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</si>
  <si>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</si>
  <si>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</si>
  <si>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</si>
  <si>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</si>
  <si>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</si>
  <si>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</si>
  <si>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</si>
  <si>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</si>
  <si>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</si>
  <si>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</si>
  <si>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</si>
  <si>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</si>
  <si>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</si>
  <si>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</si>
  <si>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</si>
  <si>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</si>
  <si>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</si>
  <si>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</si>
  <si>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</si>
  <si>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</si>
  <si>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</si>
  <si>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</si>
  <si>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</si>
  <si>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</si>
  <si>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</si>
  <si>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</si>
  <si>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</si>
  <si>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</si>
  <si>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</si>
  <si>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</si>
  <si>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</si>
  <si>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</si>
  <si>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</si>
  <si>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</si>
  <si>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</si>
  <si>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</si>
  <si>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</si>
  <si>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</si>
  <si>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</si>
  <si>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</si>
  <si>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</si>
  <si>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</si>
  <si>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</si>
  <si>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</si>
  <si>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</si>
  <si>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</si>
  <si>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</si>
  <si>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</si>
  <si>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</si>
  <si>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</si>
  <si>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</si>
  <si>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</si>
  <si>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</si>
  <si>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</si>
  <si>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</si>
  <si>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</si>
  <si>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</si>
  <si>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</si>
  <si>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</si>
  <si>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</si>
  <si>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</si>
  <si>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</si>
  <si>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</si>
  <si>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</si>
  <si>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</si>
  <si>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</si>
  <si>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</si>
  <si>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</si>
  <si>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</si>
  <si>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</si>
  <si>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</si>
  <si>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</si>
  <si>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</si>
  <si>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</si>
  <si>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</si>
  <si>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</si>
  <si>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</si>
  <si>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</si>
  <si>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</si>
  <si>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</si>
  <si>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</si>
  <si>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</si>
  <si>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</si>
  <si>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</si>
  <si>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</si>
  <si>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</si>
  <si>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</si>
  <si>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</si>
  <si>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</si>
  <si>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</si>
  <si>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</si>
  <si>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</si>
  <si>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</si>
  <si>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</si>
  <si>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</si>
  <si>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</si>
  <si>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</si>
  <si>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</si>
  <si>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</si>
  <si>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</si>
  <si>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</si>
  <si>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</si>
  <si>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</si>
  <si>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</si>
  <si>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</si>
  <si>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</si>
  <si>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</si>
  <si>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</si>
  <si>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</si>
  <si>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</si>
  <si>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</si>
  <si>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</si>
  <si>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</si>
  <si>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</si>
  <si>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</si>
  <si>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</si>
  <si>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</si>
  <si>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</si>
  <si>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</si>
  <si>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</si>
  <si>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</si>
  <si>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</si>
  <si>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</si>
  <si>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</si>
  <si>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</si>
  <si>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</si>
  <si>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</si>
  <si>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</si>
  <si>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</si>
  <si>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</si>
  <si>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</si>
  <si>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</si>
  <si>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</si>
  <si>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</si>
  <si>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</si>
  <si>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</si>
  <si>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</si>
  <si>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</si>
  <si>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</si>
  <si>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</si>
  <si>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</si>
  <si>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</si>
  <si>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</si>
  <si>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</si>
  <si>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</si>
  <si>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</si>
  <si>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</si>
  <si>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</si>
  <si>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</si>
  <si>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</si>
  <si>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</si>
  <si>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</si>
  <si>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</si>
  <si>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</si>
  <si>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</si>
  <si>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</si>
  <si>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</si>
  <si>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</si>
  <si>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</si>
  <si>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</si>
  <si>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</si>
  <si>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</si>
  <si>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</si>
  <si>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</si>
  <si>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</si>
  <si>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</si>
  <si>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</si>
  <si>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</si>
  <si>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</si>
  <si>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</si>
  <si>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</si>
  <si>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</si>
  <si>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</si>
  <si>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</si>
  <si>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</si>
  <si>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</si>
  <si>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</si>
  <si>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</si>
  <si>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</si>
  <si>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</si>
  <si>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</si>
  <si>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</si>
  <si>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</si>
  <si>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</si>
  <si>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</si>
  <si>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</si>
  <si>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</si>
  <si>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</si>
  <si>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</si>
  <si>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</si>
  <si>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</si>
  <si>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</si>
  <si>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</si>
  <si>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</si>
  <si>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</si>
  <si>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</si>
  <si>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</si>
  <si>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</si>
  <si>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</si>
  <si>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</si>
  <si>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</si>
  <si>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</si>
  <si>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</si>
  <si>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</si>
  <si>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</si>
  <si>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</si>
  <si>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</si>
  <si>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</si>
  <si>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</si>
  <si>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</si>
  <si>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</si>
  <si>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</si>
  <si>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</si>
  <si>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</si>
  <si>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</si>
  <si>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</si>
  <si>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</si>
  <si>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</si>
  <si>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</si>
  <si>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</si>
  <si>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</si>
  <si>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</si>
  <si>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</si>
  <si>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</si>
  <si>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</si>
  <si>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</si>
  <si>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</si>
  <si>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</si>
  <si>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</si>
  <si>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</si>
  <si>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</si>
  <si>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</si>
  <si>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</si>
  <si>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</si>
  <si>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</si>
  <si>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</si>
  <si>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</si>
  <si>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</si>
  <si>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</si>
  <si>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</si>
  <si>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</si>
  <si>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</si>
  <si>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</si>
  <si>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</si>
  <si>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</si>
  <si>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</si>
  <si>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</si>
  <si>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</si>
  <si>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</si>
  <si>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</si>
  <si>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</si>
  <si>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</si>
  <si>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</si>
  <si>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</si>
  <si>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</si>
  <si>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</si>
  <si>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</si>
  <si>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</si>
  <si>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</si>
  <si>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</si>
  <si>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</si>
  <si>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</si>
  <si>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</si>
  <si>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</si>
  <si>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</si>
  <si>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</si>
  <si>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</si>
  <si>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</si>
  <si>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</si>
  <si>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</si>
  <si>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</si>
  <si>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</si>
  <si>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</si>
  <si>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</si>
  <si>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</si>
  <si>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</si>
  <si>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</si>
  <si>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</si>
  <si>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</si>
  <si>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</si>
  <si>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</si>
  <si>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</si>
  <si>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</si>
  <si>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</si>
  <si>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</si>
  <si>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</si>
  <si>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</si>
  <si>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</si>
  <si>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</si>
  <si>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</si>
  <si>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</si>
  <si>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</si>
  <si>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</si>
  <si>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</si>
  <si>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</si>
  <si>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</si>
  <si>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</si>
  <si>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</si>
  <si>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</si>
  <si>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</si>
  <si>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</si>
  <si>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</si>
  <si>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</si>
  <si>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</si>
  <si>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</si>
  <si>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</si>
  <si>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</si>
  <si>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</si>
  <si>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</si>
  <si>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</si>
  <si>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</si>
  <si>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</si>
  <si>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</si>
  <si>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</si>
  <si>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</si>
  <si>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</si>
  <si>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</si>
  <si>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</si>
  <si>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</si>
  <si>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</si>
  <si>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</si>
  <si>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</si>
  <si>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</si>
  <si>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</si>
  <si>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</si>
  <si>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</si>
  <si>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</si>
  <si>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</si>
  <si>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</si>
  <si>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</si>
  <si>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</si>
  <si>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</si>
  <si>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</si>
  <si>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</si>
  <si>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</si>
  <si>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</si>
  <si>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</si>
  <si>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</si>
  <si>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</si>
  <si>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</si>
  <si>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</si>
  <si>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</si>
  <si>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</si>
  <si>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</si>
  <si>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</si>
  <si>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</si>
  <si>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</si>
  <si>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</si>
  <si>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</si>
  <si>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</si>
  <si>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</si>
  <si>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</si>
  <si>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</si>
  <si>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</si>
  <si>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</si>
  <si>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</si>
  <si>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</si>
  <si>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</si>
  <si>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</si>
  <si>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</si>
  <si>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</si>
  <si>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</si>
  <si>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</si>
  <si>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</si>
  <si>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</si>
  <si>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</si>
  <si>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</si>
  <si>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</si>
  <si>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</si>
  <si>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</si>
  <si>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</si>
  <si>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</si>
  <si>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</si>
  <si>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</si>
  <si>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</si>
  <si>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</si>
  <si>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</si>
  <si>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</si>
  <si>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</si>
  <si>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</si>
  <si>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</si>
  <si>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</si>
  <si>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</si>
  <si>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</si>
  <si>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</si>
  <si>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</si>
  <si>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</si>
  <si>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</si>
  <si>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</si>
  <si>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</si>
  <si>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</si>
  <si>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</si>
  <si>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</si>
  <si>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</si>
  <si>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</si>
  <si>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</si>
  <si>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</si>
  <si>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</si>
  <si>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</si>
  <si>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</si>
  <si>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</si>
  <si>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</si>
  <si>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</si>
  <si>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</si>
  <si>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</si>
  <si>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</si>
  <si>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</si>
  <si>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</si>
  <si>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</si>
  <si>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</si>
  <si>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</si>
  <si>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</si>
  <si>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</si>
  <si>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</si>
  <si>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</si>
  <si>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</si>
  <si>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</si>
  <si>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</si>
  <si>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</si>
  <si>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</si>
  <si>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</si>
  <si>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</si>
  <si>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</si>
  <si>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</si>
  <si>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</si>
  <si>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</si>
  <si>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</si>
  <si>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</si>
  <si>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</si>
  <si>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</si>
  <si>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</si>
  <si>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</si>
  <si>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</si>
  <si>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</si>
  <si>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</si>
  <si>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</si>
  <si>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</si>
  <si>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</si>
  <si>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</si>
  <si>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</si>
  <si>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</si>
  <si>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</si>
  <si>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</si>
  <si>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</si>
  <si>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</si>
  <si>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</si>
  <si>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</si>
  <si>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</si>
  <si>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</si>
  <si>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</si>
  <si>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</si>
  <si>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</si>
  <si>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</si>
  <si>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</si>
  <si>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</si>
  <si>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</si>
  <si>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</si>
  <si>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</si>
  <si>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</si>
  <si>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</si>
  <si>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</si>
  <si>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</si>
  <si>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</si>
  <si>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</si>
  <si>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</si>
  <si>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</si>
  <si>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</si>
  <si>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</si>
  <si>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</si>
  <si>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</si>
  <si>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</si>
  <si>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</si>
  <si>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</si>
  <si>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</si>
  <si>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</si>
  <si>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</si>
  <si>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</si>
  <si>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</si>
  <si>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</si>
  <si>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</si>
  <si>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</si>
  <si>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</si>
  <si>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</si>
  <si>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</si>
  <si>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</si>
  <si>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</si>
  <si>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</si>
  <si>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</si>
  <si>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</si>
  <si>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</si>
  <si>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</si>
  <si>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</si>
  <si>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</si>
  <si>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</si>
  <si>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</si>
  <si>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</si>
  <si>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</si>
  <si>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</si>
  <si>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</si>
  <si>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</si>
  <si>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</si>
  <si>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</si>
  <si>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</si>
  <si>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</si>
  <si>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</si>
  <si>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</si>
  <si>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</si>
  <si>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</si>
  <si>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</si>
  <si>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</si>
  <si>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</si>
  <si>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</si>
  <si>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</si>
  <si>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</si>
  <si>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</si>
  <si>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</si>
  <si>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</si>
  <si>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</si>
  <si>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</si>
  <si>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</si>
  <si>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</si>
  <si>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</si>
  <si>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</si>
  <si>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</si>
  <si>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</si>
  <si>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</si>
  <si>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</si>
  <si>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</si>
  <si>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</si>
  <si>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</si>
  <si>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</si>
  <si>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</si>
  <si>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</si>
  <si>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</si>
  <si>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</si>
  <si>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</si>
  <si>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</si>
  <si>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</si>
  <si>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</si>
  <si>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</si>
  <si>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</si>
  <si>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</si>
  <si>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</si>
  <si>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</si>
  <si>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</si>
  <si>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</si>
  <si>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</si>
  <si>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</si>
  <si>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</si>
  <si>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</si>
  <si>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</si>
  <si>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</si>
  <si>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</si>
  <si>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</si>
  <si>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</si>
  <si>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</si>
  <si>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</si>
  <si>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</si>
  <si>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</si>
  <si>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</si>
  <si>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</si>
  <si>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</si>
  <si>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</si>
  <si>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</si>
  <si>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</si>
  <si>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</si>
  <si>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</si>
  <si>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</si>
  <si>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</si>
  <si>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</si>
  <si>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</si>
  <si>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</si>
  <si>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</si>
  <si>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</si>
  <si>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</si>
  <si>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</si>
  <si>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</si>
  <si>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</si>
  <si>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</si>
  <si>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</si>
  <si>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</si>
  <si>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</si>
  <si>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</si>
  <si>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</si>
  <si>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</si>
  <si>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</si>
  <si>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</si>
  <si>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</si>
  <si>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</si>
  <si>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</si>
  <si>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</si>
  <si>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</si>
  <si>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</si>
  <si>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</si>
  <si>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</si>
  <si>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</si>
  <si>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</si>
  <si>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</si>
  <si>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</si>
  <si>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</si>
  <si>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</si>
  <si>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</si>
  <si>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</si>
  <si>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</si>
  <si>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</si>
  <si>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</si>
  <si>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</si>
  <si>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</si>
  <si>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</si>
  <si>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</si>
  <si>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</si>
  <si>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</si>
  <si>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</si>
  <si>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</si>
  <si>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</si>
  <si>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</si>
  <si>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</si>
  <si>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</si>
  <si>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</si>
  <si>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</si>
  <si>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</si>
  <si>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</si>
  <si>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</si>
  <si>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</si>
  <si>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</si>
  <si>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</si>
  <si>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</si>
  <si>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</si>
  <si>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</si>
  <si>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</si>
  <si>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</si>
  <si>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</si>
  <si>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</si>
  <si>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</si>
  <si>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</si>
  <si>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</si>
  <si>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</si>
  <si>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</si>
  <si>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</si>
  <si>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</si>
  <si>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</si>
  <si>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</si>
  <si>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</si>
  <si>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</si>
  <si>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</si>
  <si>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</si>
  <si>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</si>
  <si>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</si>
  <si>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</si>
  <si>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</si>
  <si>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</si>
  <si>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</si>
  <si>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</si>
  <si>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</si>
  <si>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</si>
  <si>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</si>
  <si>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</si>
  <si>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</si>
  <si>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</si>
  <si>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</si>
  <si>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</si>
  <si>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</si>
  <si>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</si>
  <si>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</si>
  <si>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</si>
  <si>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</si>
  <si>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</si>
  <si>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</si>
  <si>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</si>
  <si>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</si>
  <si>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</si>
  <si>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</si>
  <si>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</si>
  <si>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</si>
  <si>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</si>
  <si>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</si>
  <si>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</si>
  <si>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</si>
  <si>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</si>
  <si>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</si>
  <si>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</si>
  <si>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</si>
  <si>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</si>
  <si>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</si>
  <si>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</si>
  <si>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</si>
  <si>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</si>
  <si>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</si>
  <si>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</si>
  <si>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</si>
  <si>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</si>
  <si>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</si>
  <si>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</si>
  <si>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</si>
  <si>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</si>
  <si>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</si>
  <si>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</si>
  <si>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</si>
  <si>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</si>
  <si>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</si>
  <si>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</si>
  <si>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</si>
  <si>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</si>
  <si>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</si>
  <si>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</si>
  <si>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</si>
  <si>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</si>
  <si>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</si>
  <si>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</si>
  <si>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</si>
  <si>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</si>
  <si>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</si>
  <si>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</si>
  <si>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</si>
  <si>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</si>
  <si>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</si>
  <si>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</si>
  <si>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</si>
  <si>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</si>
  <si>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</si>
  <si>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</si>
  <si>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</si>
  <si>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</si>
  <si>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</si>
  <si>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</si>
  <si>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</si>
  <si>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</si>
  <si>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</si>
  <si>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</si>
  <si>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</si>
  <si>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</si>
  <si>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</si>
  <si>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</si>
  <si>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</si>
  <si>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</si>
  <si>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</si>
  <si>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</si>
  <si>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</si>
  <si>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</si>
  <si>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</si>
  <si>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</si>
  <si>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</si>
  <si>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</si>
  <si>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</si>
  <si>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</si>
  <si>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</si>
  <si>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</si>
  <si>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</si>
  <si>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</si>
  <si>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</si>
  <si>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</si>
  <si>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</si>
  <si>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</si>
  <si>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</si>
  <si>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</si>
  <si>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</si>
  <si>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</si>
  <si>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</si>
  <si>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</si>
  <si>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</si>
  <si>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</si>
  <si>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</si>
  <si>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</si>
  <si>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</si>
  <si>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</si>
  <si>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</si>
  <si>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</si>
  <si>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</si>
  <si>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</si>
  <si>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</si>
  <si>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</si>
  <si>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</si>
  <si>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</si>
  <si>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</si>
  <si>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</si>
  <si>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</si>
  <si>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</si>
  <si>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</si>
  <si>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</si>
  <si>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</si>
  <si>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</si>
  <si>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</si>
  <si>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</si>
  <si>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</si>
  <si>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</si>
  <si>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</si>
  <si>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</si>
  <si>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</si>
  <si>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</si>
  <si>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</si>
  <si>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</si>
  <si>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</si>
  <si>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</si>
  <si>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</si>
  <si>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</si>
  <si>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</si>
  <si>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</si>
  <si>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</si>
  <si>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</si>
  <si>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</si>
  <si>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</si>
  <si>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</si>
  <si>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</si>
  <si>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</si>
  <si>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</si>
  <si>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</si>
  <si>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</si>
  <si>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</si>
  <si>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</si>
  <si>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</si>
  <si>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</si>
  <si>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</si>
  <si>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</si>
  <si>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</si>
  <si>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</si>
  <si>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</si>
  <si>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</si>
  <si>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</si>
  <si>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</si>
  <si>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</si>
  <si>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</si>
  <si>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</si>
  <si>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</si>
  <si>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</si>
  <si>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</si>
  <si>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</si>
  <si>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</si>
  <si>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</si>
  <si>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</si>
  <si>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</si>
  <si>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</si>
  <si>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</si>
  <si>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</si>
  <si>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</si>
  <si>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</si>
  <si>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</si>
  <si>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</si>
  <si>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</si>
  <si>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</si>
  <si>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</si>
  <si>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</si>
  <si>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</si>
  <si>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</si>
  <si>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</si>
  <si>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</si>
  <si>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</si>
  <si>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</si>
  <si>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</si>
  <si>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</si>
  <si>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</si>
  <si>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</si>
  <si>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</si>
  <si>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</si>
  <si>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</si>
  <si>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</si>
  <si>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</si>
  <si>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</si>
  <si>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</si>
  <si>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</si>
  <si>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</si>
  <si>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</si>
  <si>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</si>
  <si>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</si>
  <si>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</si>
  <si>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</si>
  <si>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</si>
  <si>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</si>
  <si>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</si>
  <si>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</si>
  <si>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</si>
  <si>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</si>
  <si>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</si>
  <si>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</si>
  <si>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</si>
  <si>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</si>
  <si>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</si>
  <si>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</si>
  <si>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</si>
  <si>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</si>
  <si>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</si>
  <si>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</si>
  <si>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</si>
  <si>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</si>
  <si>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</si>
  <si>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</si>
  <si>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</si>
  <si>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</si>
  <si>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</si>
  <si>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</si>
  <si>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</si>
  <si>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</si>
  <si>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</si>
  <si>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</si>
  <si>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</si>
  <si>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</si>
  <si>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</si>
  <si>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</si>
  <si>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</si>
  <si>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</si>
  <si>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</si>
  <si>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</si>
  <si>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</si>
  <si>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</si>
  <si>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</si>
  <si>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</si>
  <si>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</si>
  <si>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</si>
  <si>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</si>
  <si>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</si>
  <si>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</si>
  <si>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</si>
  <si>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</si>
  <si>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</si>
  <si>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</si>
  <si>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</si>
  <si>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</si>
  <si>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</si>
  <si>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</si>
  <si>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</si>
  <si>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</si>
  <si>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</si>
  <si>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</si>
  <si>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</si>
  <si>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</si>
  <si>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</si>
  <si>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</si>
  <si>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</si>
  <si>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</si>
  <si>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</si>
  <si>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</si>
  <si>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</si>
  <si>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</si>
  <si>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</si>
  <si>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</si>
  <si>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</si>
  <si>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</si>
  <si>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</si>
  <si>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</si>
  <si>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</si>
  <si>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</si>
  <si>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</si>
  <si>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</si>
  <si>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</si>
  <si>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</si>
  <si>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</si>
  <si>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</si>
  <si>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</si>
  <si>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</si>
  <si>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</si>
  <si>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</si>
  <si>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</si>
  <si>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</si>
  <si>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</si>
  <si>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</si>
  <si>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</si>
  <si>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</si>
  <si>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</si>
  <si>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</si>
  <si>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</si>
  <si>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</si>
  <si>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</si>
  <si>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</si>
  <si>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</si>
  <si>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</si>
  <si>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</si>
  <si>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</si>
  <si>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</si>
  <si>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</si>
  <si>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</si>
  <si>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</si>
  <si>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</si>
  <si>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</si>
  <si>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</si>
  <si>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</si>
  <si>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</si>
  <si>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</si>
  <si>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</si>
  <si>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</si>
  <si>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</si>
  <si>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</si>
  <si>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</si>
  <si>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</si>
  <si>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</si>
  <si>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</si>
  <si>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</si>
  <si>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</si>
  <si>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</si>
  <si>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</si>
  <si>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</si>
  <si>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</si>
  <si>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</si>
  <si>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</si>
  <si>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</si>
  <si>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</si>
  <si>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</si>
  <si>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</si>
  <si>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</si>
  <si>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</si>
  <si>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</si>
  <si>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</si>
  <si>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</si>
  <si>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</si>
  <si>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</si>
  <si>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</si>
  <si>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</si>
  <si>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</si>
  <si>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</si>
  <si>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</si>
  <si>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</si>
  <si>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</si>
  <si>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</si>
  <si>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</si>
  <si>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</si>
  <si>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</si>
  <si>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</si>
  <si>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</si>
  <si>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</si>
  <si>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</si>
  <si>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</si>
  <si>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</si>
  <si>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</si>
  <si>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</si>
  <si>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</si>
  <si>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</si>
  <si>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</si>
  <si>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</si>
  <si>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</si>
  <si>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</si>
  <si>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</si>
  <si>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</si>
  <si>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</si>
  <si>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</si>
  <si>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</si>
  <si>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</si>
  <si>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</si>
  <si>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</si>
  <si>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</si>
  <si>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</si>
  <si>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</si>
  <si>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</si>
  <si>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</si>
  <si>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</si>
  <si>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</si>
  <si>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</si>
  <si>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</si>
  <si>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</si>
  <si>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</si>
  <si>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</si>
  <si>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</si>
  <si>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</si>
  <si>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</si>
  <si>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</si>
  <si>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</si>
  <si>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</si>
  <si>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</si>
  <si>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</si>
  <si>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</si>
  <si>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</si>
  <si>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</si>
  <si>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</si>
  <si>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</si>
  <si>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</si>
  <si>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</si>
  <si>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</si>
  <si>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</si>
  <si>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</si>
  <si>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</si>
  <si>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</si>
  <si>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</si>
  <si>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</si>
  <si>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</si>
  <si>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</si>
  <si>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</si>
  <si>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</si>
  <si>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</si>
  <si>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</si>
  <si>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</si>
  <si>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</si>
  <si>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</si>
  <si>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</si>
  <si>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</si>
  <si>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</si>
  <si>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</si>
  <si>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</si>
  <si>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</si>
  <si>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</si>
  <si>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</si>
  <si>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</si>
  <si>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</si>
  <si>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</si>
  <si>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</si>
  <si>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</si>
  <si>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</si>
  <si>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</si>
  <si>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</si>
  <si>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</si>
  <si>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</si>
  <si>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</si>
  <si>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</si>
  <si>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</si>
  <si>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</si>
  <si>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</si>
  <si>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</si>
  <si>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</si>
  <si>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</si>
  <si>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</si>
  <si>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</si>
  <si>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</si>
  <si>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</si>
  <si>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</si>
  <si>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</si>
  <si>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</si>
  <si>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</si>
  <si>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</si>
  <si>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</si>
  <si>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</si>
  <si>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</si>
  <si>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</si>
  <si>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</si>
  <si>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</si>
  <si>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</si>
  <si>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</si>
  <si>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</si>
  <si>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</si>
  <si>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</si>
  <si>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</si>
  <si>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</si>
  <si>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</si>
  <si>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</si>
  <si>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</si>
  <si>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</si>
  <si>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</si>
  <si>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</si>
  <si>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</si>
  <si>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</si>
  <si>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</si>
  <si>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</si>
  <si>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</si>
  <si>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</si>
  <si>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</si>
  <si>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</si>
  <si>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</si>
  <si>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</si>
  <si>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</si>
  <si>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</si>
  <si>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</si>
  <si>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</si>
  <si>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</si>
  <si>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</si>
  <si>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</si>
  <si>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</si>
  <si>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</si>
  <si>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</si>
  <si>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</si>
  <si>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</si>
  <si>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</si>
  <si>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</si>
  <si>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</si>
  <si>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</si>
  <si>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</si>
  <si>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</si>
  <si>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</si>
  <si>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</si>
  <si>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</si>
  <si>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</si>
  <si>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</si>
  <si>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</si>
  <si>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</si>
  <si>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</si>
  <si>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</si>
  <si>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</si>
  <si>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</si>
  <si>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</si>
  <si>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</si>
  <si>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</si>
  <si>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</si>
  <si>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</si>
  <si>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</si>
  <si>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</si>
  <si>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</si>
  <si>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</si>
  <si>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</si>
  <si>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</si>
  <si>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</si>
  <si>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</si>
  <si>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</si>
  <si>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</si>
  <si>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</si>
  <si>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</si>
  <si>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</si>
  <si>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</si>
  <si>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</si>
  <si>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</si>
  <si>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</si>
  <si>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</si>
  <si>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</si>
  <si>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</si>
  <si>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</si>
  <si>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</si>
  <si>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</si>
  <si>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</si>
  <si>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</si>
  <si>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</si>
  <si>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</si>
  <si>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</si>
  <si>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</si>
  <si>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</si>
  <si>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</si>
  <si>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</si>
  <si>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</si>
  <si>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</si>
  <si>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</si>
  <si>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</si>
  <si>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</si>
  <si>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</si>
  <si>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</si>
  <si>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</si>
  <si>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</si>
  <si>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</si>
  <si>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</si>
  <si>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</si>
  <si>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</si>
  <si>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</si>
  <si>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</si>
  <si>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</si>
  <si>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</si>
  <si>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</si>
  <si>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</si>
  <si>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</si>
  <si>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</si>
  <si>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</si>
  <si>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</si>
  <si>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</si>
  <si>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</si>
  <si>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</si>
  <si>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</si>
  <si>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</si>
  <si>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</si>
  <si>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</si>
  <si>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</si>
  <si>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</si>
  <si>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</si>
  <si>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</si>
  <si>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</si>
  <si>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</si>
  <si>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</si>
  <si>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</si>
  <si>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</si>
  <si>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</si>
  <si>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</si>
  <si>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</si>
  <si>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</si>
  <si>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</si>
  <si>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</si>
  <si>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</si>
  <si>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</si>
  <si>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</si>
  <si>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</si>
  <si>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</si>
  <si>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</si>
  <si>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</si>
  <si>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</si>
  <si>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</si>
  <si>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</si>
  <si>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</si>
  <si>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</si>
  <si>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</si>
  <si>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</si>
  <si>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</si>
  <si>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</si>
  <si>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</si>
  <si>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</si>
  <si>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</si>
  <si>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</si>
  <si>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</si>
  <si>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</si>
  <si>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</si>
  <si>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</si>
  <si>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</si>
  <si>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</si>
  <si>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</si>
  <si>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</si>
  <si>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</si>
  <si>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</si>
  <si>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</si>
  <si>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</si>
  <si>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</si>
  <si>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</si>
  <si>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</si>
  <si>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</si>
  <si>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</si>
  <si>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</si>
  <si>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</si>
  <si>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</si>
  <si>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</si>
  <si>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</si>
  <si>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</si>
  <si>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</si>
  <si>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</si>
  <si>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</si>
  <si>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</si>
  <si>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</si>
  <si>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</si>
  <si>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</si>
  <si>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</si>
  <si>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</si>
  <si>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</si>
  <si>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</si>
  <si>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</si>
  <si>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</si>
  <si>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</si>
  <si>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</si>
  <si>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</si>
  <si>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</si>
  <si>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</si>
  <si>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</si>
  <si>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</si>
  <si>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</si>
  <si>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</si>
  <si>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</si>
  <si>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</si>
  <si>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</si>
  <si>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</si>
  <si>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</si>
  <si>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</si>
  <si>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</si>
  <si>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</si>
  <si>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</si>
  <si>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</si>
  <si>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</si>
  <si>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</si>
  <si>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</si>
  <si>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</si>
  <si>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</si>
  <si>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</si>
  <si>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</si>
  <si>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</si>
  <si>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</si>
  <si>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</si>
  <si>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</si>
  <si>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</si>
  <si>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</si>
  <si>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</si>
  <si>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</si>
  <si>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</si>
  <si>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</si>
  <si>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</si>
  <si>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</si>
  <si>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</si>
  <si>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</si>
  <si>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</si>
  <si>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</si>
  <si>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</si>
  <si>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</si>
  <si>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</si>
  <si>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</si>
  <si>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</si>
  <si>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</si>
  <si>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</si>
  <si>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</si>
  <si>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</si>
  <si>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</si>
  <si>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</si>
  <si>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</si>
  <si>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</si>
  <si>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</si>
  <si>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</si>
  <si>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</si>
  <si>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</si>
  <si>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</si>
  <si>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</si>
  <si>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</si>
  <si>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</si>
  <si>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</si>
  <si>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</si>
  <si>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</si>
  <si>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</si>
  <si>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</si>
  <si>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</si>
  <si>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</si>
  <si>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</si>
  <si>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</si>
  <si>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</si>
  <si>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</si>
  <si>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</si>
  <si>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</si>
  <si>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</si>
  <si>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</si>
  <si>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</si>
  <si>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</si>
  <si>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</si>
  <si>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</si>
  <si>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</si>
  <si>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</si>
  <si>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</si>
  <si>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</si>
  <si>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</si>
  <si>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</si>
  <si>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</si>
  <si>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</si>
  <si>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</si>
  <si>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</si>
  <si>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</si>
  <si>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</si>
  <si>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</si>
  <si>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</si>
  <si>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</si>
  <si>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</si>
  <si>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</si>
  <si>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</si>
  <si>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</si>
  <si>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</si>
  <si>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</si>
  <si>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</si>
  <si>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</si>
  <si>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</si>
  <si>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</si>
  <si>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</si>
  <si>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</si>
  <si>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</si>
  <si>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</si>
  <si>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</si>
  <si>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</si>
  <si>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</si>
  <si>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</si>
  <si>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</si>
  <si>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</si>
  <si>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</si>
  <si>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</si>
  <si>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</si>
  <si>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</si>
  <si>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</si>
  <si>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</si>
  <si>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</si>
  <si>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</si>
  <si>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</si>
  <si>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</si>
  <si>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</si>
  <si>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</si>
  <si>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</si>
  <si>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</si>
  <si>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</si>
  <si>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</si>
  <si>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</si>
  <si>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</si>
  <si>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</si>
  <si>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</si>
  <si>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</si>
  <si>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</si>
  <si>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</si>
  <si>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</si>
  <si>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</si>
  <si>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</si>
  <si>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</si>
  <si>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</si>
  <si>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</si>
  <si>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</si>
  <si>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</si>
  <si>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</si>
  <si>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</si>
  <si>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</si>
  <si>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</si>
  <si>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</si>
  <si>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</si>
  <si>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</si>
  <si>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</si>
  <si>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</si>
  <si>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</si>
  <si>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</si>
  <si>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</si>
  <si>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</si>
  <si>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</si>
  <si>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</si>
  <si>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</si>
  <si>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</si>
  <si>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</si>
  <si>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</si>
  <si>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</si>
  <si>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</si>
  <si>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</si>
  <si>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</si>
  <si>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</si>
  <si>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</si>
  <si>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</si>
  <si>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</si>
  <si>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</si>
  <si>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</si>
  <si>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</si>
  <si>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</si>
  <si>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</si>
  <si>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</si>
  <si>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</si>
  <si>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</si>
  <si>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</si>
  <si>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</si>
  <si>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</si>
  <si>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</si>
  <si>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</si>
  <si>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</si>
  <si>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</si>
  <si>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</si>
  <si>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</si>
  <si>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</si>
  <si>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</si>
  <si>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</si>
  <si>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</si>
  <si>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</si>
  <si>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</si>
  <si>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</si>
  <si>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</si>
  <si>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</si>
  <si>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</si>
  <si>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</si>
  <si>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</si>
  <si>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</si>
  <si>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</si>
  <si>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</si>
  <si>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</si>
  <si>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</si>
  <si>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</si>
  <si>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</si>
  <si>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</si>
  <si>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</si>
  <si>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</si>
  <si>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</si>
  <si>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</si>
  <si>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</si>
  <si>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</si>
  <si>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</si>
  <si>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</si>
  <si>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</si>
  <si>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</si>
  <si>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</si>
  <si>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</si>
  <si>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</si>
  <si>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</si>
  <si>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</si>
  <si>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</si>
  <si>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</si>
  <si>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</si>
  <si>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</si>
  <si>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</si>
  <si>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</si>
  <si>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</si>
  <si>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</si>
  <si>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</si>
  <si>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</si>
  <si>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</si>
  <si>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</si>
  <si>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</si>
  <si>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</si>
  <si>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</si>
  <si>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</si>
  <si>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</si>
  <si>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</si>
  <si>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</si>
  <si>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</si>
  <si>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</si>
  <si>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</si>
  <si>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</si>
  <si>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</si>
  <si>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</si>
  <si>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</si>
  <si>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</si>
  <si>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</si>
  <si>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</si>
  <si>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</si>
  <si>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</si>
  <si>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</si>
  <si>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</si>
  <si>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</si>
  <si>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</si>
  <si>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</si>
  <si>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</si>
  <si>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</si>
  <si>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</si>
  <si>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</si>
  <si>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</si>
  <si>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</si>
  <si>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</si>
  <si>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</si>
  <si>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</si>
  <si>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</si>
  <si>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</si>
  <si>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</si>
  <si>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</si>
  <si>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</si>
  <si>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</si>
  <si>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</si>
  <si>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</si>
  <si>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</si>
  <si>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</si>
  <si>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</si>
  <si>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</si>
  <si>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</si>
  <si>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</si>
  <si>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</si>
  <si>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</si>
  <si>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</si>
  <si>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</si>
  <si>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</si>
  <si>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</si>
  <si>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</si>
  <si>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</si>
  <si>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</si>
  <si>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</si>
  <si>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</si>
  <si>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</si>
  <si>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</si>
  <si>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</si>
  <si>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</si>
  <si>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</si>
  <si>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</si>
  <si>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</si>
  <si>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</si>
  <si>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</si>
  <si>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</si>
  <si>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</si>
  <si>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</si>
  <si>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</si>
  <si>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</si>
  <si>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</si>
  <si>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</si>
  <si>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</si>
  <si>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</si>
  <si>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</si>
  <si>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</si>
  <si>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</si>
  <si>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</si>
  <si>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</si>
  <si>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</si>
  <si>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</si>
  <si>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</si>
  <si>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</si>
  <si>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</si>
  <si>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</si>
  <si>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</si>
  <si>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</si>
  <si>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</si>
  <si>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</si>
  <si>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</si>
  <si>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</si>
  <si>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</si>
  <si>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</si>
  <si>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</si>
  <si>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</si>
  <si>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</si>
  <si>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</si>
  <si>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</si>
  <si>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</si>
  <si>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</si>
  <si>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</si>
  <si>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</si>
  <si>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</si>
  <si>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</si>
  <si>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</si>
  <si>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</si>
  <si>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</si>
  <si>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</si>
  <si>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</si>
  <si>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</si>
  <si>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</si>
  <si>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</si>
  <si>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</si>
  <si>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</si>
  <si>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</si>
  <si>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</si>
  <si>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</si>
  <si>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</si>
  <si>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</si>
  <si>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</si>
  <si>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</si>
  <si>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</si>
  <si>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</si>
  <si>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</si>
  <si>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</si>
  <si>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</si>
  <si>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</si>
  <si>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</si>
  <si>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</si>
  <si>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</si>
  <si>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</si>
  <si>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</si>
  <si>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</si>
  <si>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</si>
  <si>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</si>
  <si>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</si>
  <si>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</si>
  <si>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</si>
  <si>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</si>
  <si>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</si>
  <si>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</si>
  <si>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</si>
  <si>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</si>
  <si>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</si>
  <si>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</si>
  <si>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</si>
  <si>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</si>
  <si>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</si>
  <si>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</si>
  <si>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</si>
  <si>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</si>
  <si>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</si>
  <si>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</si>
  <si>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</si>
  <si>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</si>
  <si>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</si>
  <si>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</si>
  <si>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</si>
  <si>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</si>
  <si>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</si>
  <si>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</si>
  <si>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</si>
  <si>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</si>
  <si>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</si>
  <si>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</si>
  <si>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</si>
  <si>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</si>
  <si>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</si>
  <si>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</si>
  <si>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</si>
  <si>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</si>
  <si>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</si>
  <si>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</si>
  <si>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</si>
  <si>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</si>
  <si>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</si>
  <si>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</si>
  <si>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</si>
  <si>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</si>
  <si>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</si>
  <si>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</si>
  <si>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</si>
  <si>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</si>
  <si>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</si>
  <si>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</si>
  <si>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</si>
  <si>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</si>
  <si>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</si>
  <si>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</si>
  <si>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</si>
  <si>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</si>
  <si>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</si>
  <si>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</si>
  <si>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</si>
  <si>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</si>
  <si>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</si>
  <si>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</si>
  <si>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</si>
  <si>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</si>
  <si>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</si>
  <si>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</si>
  <si>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</si>
  <si>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</si>
  <si>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</si>
  <si>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</si>
  <si>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</si>
  <si>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</si>
  <si>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</si>
  <si>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</si>
  <si>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</si>
  <si>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</si>
  <si>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</si>
  <si>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</si>
  <si>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</si>
  <si>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</si>
  <si>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</si>
  <si>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</si>
  <si>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</si>
  <si>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</si>
  <si>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</si>
  <si>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</si>
  <si>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</si>
  <si>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</si>
  <si>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</si>
  <si>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</si>
  <si>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</si>
  <si>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</si>
  <si>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</si>
  <si>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</si>
  <si>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</si>
  <si>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</si>
  <si>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</si>
  <si>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</si>
  <si>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</si>
  <si>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</si>
  <si>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</si>
  <si>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</si>
  <si>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</si>
  <si>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</si>
  <si>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</si>
  <si>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</si>
  <si>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</si>
  <si>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</si>
  <si>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</si>
  <si>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</si>
  <si>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</si>
  <si>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</si>
  <si>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</si>
  <si>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</si>
  <si>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</si>
  <si>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</si>
  <si>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</si>
  <si>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</si>
  <si>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</si>
  <si>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</si>
  <si>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</si>
  <si>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</si>
  <si>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</si>
  <si>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</si>
  <si>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</si>
  <si>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</si>
  <si>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</si>
  <si>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</si>
  <si>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</si>
  <si>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</si>
  <si>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</si>
  <si>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</si>
  <si>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</si>
  <si>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</si>
  <si>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</si>
  <si>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</si>
  <si>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</si>
  <si>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</si>
  <si>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</si>
  <si>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</si>
  <si>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</si>
  <si>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</si>
  <si>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</si>
  <si>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</si>
  <si>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</si>
  <si>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</si>
  <si>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</si>
  <si>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</si>
  <si>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</si>
  <si>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</si>
  <si>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</si>
  <si>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</si>
  <si>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</si>
  <si>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</si>
  <si>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</si>
  <si>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</si>
  <si>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</si>
  <si>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</si>
  <si>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</si>
  <si>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</si>
  <si>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</si>
  <si>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</si>
  <si>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</si>
  <si>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</si>
  <si>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</si>
  <si>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</si>
  <si>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</si>
  <si>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</si>
  <si>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</si>
  <si>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</si>
  <si>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</si>
  <si>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</si>
  <si>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</si>
  <si>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</si>
  <si>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</si>
  <si>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</si>
  <si>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</si>
  <si>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</si>
  <si>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</si>
  <si>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</si>
  <si>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</si>
  <si>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</si>
  <si>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</si>
  <si>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</si>
  <si>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</si>
  <si>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</si>
  <si>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</si>
  <si>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</si>
  <si>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</si>
  <si>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</si>
  <si>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</si>
  <si>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</si>
  <si>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</si>
  <si>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</si>
  <si>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</si>
  <si>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</si>
  <si>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</si>
  <si>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</si>
  <si>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</si>
  <si>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</si>
  <si>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</si>
  <si>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</si>
  <si>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</si>
  <si>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</si>
  <si>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</si>
  <si>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</si>
  <si>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</si>
  <si>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</si>
  <si>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</si>
  <si>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</si>
  <si>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</si>
  <si>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</si>
  <si>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</si>
  <si>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</si>
  <si>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</si>
  <si>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</si>
  <si>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</si>
  <si>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</si>
  <si>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</si>
  <si>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</si>
  <si>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</si>
  <si>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</si>
  <si>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</si>
  <si>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</si>
  <si>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</si>
  <si>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</si>
  <si>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</si>
  <si>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</si>
  <si>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</si>
  <si>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</si>
  <si>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</si>
  <si>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</si>
  <si>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</si>
  <si>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</si>
  <si>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</si>
  <si>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</si>
  <si>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</si>
  <si>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</si>
  <si>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</si>
  <si>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</si>
  <si>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</si>
  <si>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</si>
  <si>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</si>
  <si>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</si>
  <si>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</si>
  <si>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</si>
  <si>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</si>
  <si>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</si>
  <si>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</si>
  <si>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</si>
  <si>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</si>
  <si>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</si>
  <si>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</si>
  <si>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</si>
  <si>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</si>
  <si>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</si>
  <si>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</si>
  <si>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</si>
  <si>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</si>
  <si>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</si>
  <si>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</si>
  <si>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</si>
  <si>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</si>
  <si>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</si>
  <si>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</si>
  <si>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</si>
  <si>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</si>
  <si>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</si>
  <si>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</si>
  <si>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</si>
  <si>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</si>
  <si>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</si>
  <si>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</si>
  <si>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</si>
  <si>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</si>
  <si>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</si>
  <si>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</si>
  <si>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</si>
  <si>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</si>
  <si>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</si>
  <si>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</si>
  <si>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</si>
  <si>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</si>
  <si>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</si>
  <si>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</si>
  <si>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</si>
  <si>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</si>
  <si>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</si>
  <si>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</si>
  <si>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</si>
  <si>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</si>
  <si>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</si>
  <si>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</si>
  <si>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</si>
  <si>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</si>
  <si>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</si>
  <si>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</si>
  <si>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</si>
  <si>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</si>
  <si>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</si>
  <si>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</si>
  <si>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</si>
  <si>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</si>
  <si>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</si>
  <si>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</si>
  <si>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</si>
  <si>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</si>
  <si>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</si>
  <si>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</si>
  <si>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</si>
  <si>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</si>
  <si>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</si>
  <si>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</si>
  <si>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</si>
  <si>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</si>
  <si>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</si>
  <si>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</si>
  <si>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</si>
  <si>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</si>
  <si>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</si>
  <si>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</si>
  <si>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</si>
  <si>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</si>
  <si>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</si>
  <si>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</si>
  <si>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</si>
  <si>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</si>
  <si>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</si>
  <si>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</si>
  <si>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</si>
  <si>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</si>
  <si>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</si>
  <si>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</si>
  <si>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</si>
  <si>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</si>
  <si>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</si>
  <si>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</si>
  <si>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</si>
  <si>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</si>
  <si>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</si>
  <si>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</si>
  <si>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</si>
  <si>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</si>
  <si>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</si>
  <si>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</si>
  <si>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</si>
  <si>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</si>
  <si>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</si>
  <si>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</si>
  <si>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</si>
  <si>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</si>
  <si>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</si>
  <si>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</si>
  <si>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</si>
  <si>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</si>
  <si>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</si>
  <si>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</si>
  <si>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</si>
  <si>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</si>
  <si>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</si>
  <si>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</si>
  <si>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</si>
  <si>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</si>
  <si>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</si>
  <si>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</si>
  <si>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</si>
  <si>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</si>
  <si>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</si>
  <si>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</si>
  <si>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</si>
  <si>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</si>
  <si>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</si>
  <si>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</si>
  <si>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</si>
  <si>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</si>
  <si>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</si>
  <si>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</si>
  <si>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</si>
  <si>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</si>
  <si>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</si>
  <si>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</si>
  <si>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</si>
  <si>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</si>
  <si>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</si>
  <si>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</si>
  <si>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</si>
  <si>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</si>
  <si>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</si>
  <si>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</si>
  <si>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</si>
  <si>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</si>
  <si>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</si>
  <si>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</si>
  <si>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</si>
  <si>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</si>
  <si>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</si>
  <si>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</si>
  <si>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</si>
  <si>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</si>
  <si>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</si>
  <si>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</si>
  <si>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</si>
  <si>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</si>
  <si>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</si>
  <si>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</si>
  <si>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</si>
  <si>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</si>
  <si>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</si>
  <si>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</si>
  <si>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</si>
  <si>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</si>
  <si>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</si>
  <si>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</si>
  <si>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</si>
  <si>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</si>
  <si>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</si>
  <si>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</si>
  <si>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</si>
  <si>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</si>
  <si>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</si>
  <si>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</si>
  <si>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</si>
  <si>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</si>
  <si>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</si>
  <si>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</si>
  <si>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</si>
  <si>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</si>
  <si>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</si>
  <si>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</si>
  <si>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</si>
  <si>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</si>
  <si>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</si>
  <si>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</si>
  <si>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</si>
  <si>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</si>
  <si>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</si>
  <si>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</si>
  <si>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</si>
  <si>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</si>
  <si>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</si>
  <si>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</si>
  <si>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</si>
  <si>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</si>
  <si>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</si>
  <si>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</si>
  <si>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</si>
  <si>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</si>
  <si>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</si>
  <si>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</si>
  <si>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</si>
  <si>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</si>
  <si>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</si>
  <si>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</si>
  <si>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</si>
  <si>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</si>
  <si>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</si>
  <si>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</si>
  <si>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</si>
  <si>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</si>
  <si>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</si>
  <si>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</si>
  <si>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</si>
  <si>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</si>
  <si>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</si>
  <si>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</si>
  <si>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</si>
  <si>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</si>
  <si>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</si>
  <si>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</si>
  <si>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</si>
  <si>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</si>
  <si>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</si>
  <si>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</si>
  <si>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</si>
  <si>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</si>
  <si>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</si>
  <si>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</si>
  <si>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</si>
  <si>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</si>
  <si>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</si>
  <si>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</si>
  <si>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</si>
  <si>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</si>
  <si>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</si>
  <si>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</si>
  <si>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</si>
  <si>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</si>
  <si>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</si>
  <si>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</si>
  <si>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</si>
  <si>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</si>
  <si>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</si>
  <si>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</si>
  <si>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</si>
  <si>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</si>
  <si>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</si>
  <si>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</si>
  <si>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</si>
  <si>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</si>
  <si>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</si>
  <si>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</si>
  <si>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</si>
  <si>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</si>
  <si>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</si>
  <si>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</si>
  <si>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</si>
  <si>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</si>
  <si>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</si>
  <si>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</si>
  <si>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</si>
  <si>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</si>
  <si>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</si>
  <si>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</si>
  <si>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</si>
  <si>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</si>
  <si>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</si>
  <si>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</si>
  <si>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</si>
  <si>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</si>
  <si>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</si>
  <si>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</si>
  <si>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</si>
  <si>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</si>
  <si>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</si>
  <si>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</si>
  <si>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</si>
  <si>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</si>
  <si>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</si>
  <si>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</si>
  <si>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</si>
  <si>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</si>
  <si>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</si>
  <si>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</si>
  <si>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</si>
  <si>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</si>
  <si>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</si>
  <si>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</si>
  <si>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</si>
  <si>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</si>
  <si>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</si>
  <si>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</si>
  <si>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</si>
  <si>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</si>
  <si>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</si>
  <si>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</si>
  <si>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</si>
  <si>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</si>
  <si>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</si>
  <si>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</si>
  <si>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</si>
  <si>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</si>
  <si>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</si>
  <si>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</si>
  <si>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</si>
  <si>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</si>
  <si>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</si>
  <si>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</si>
  <si>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</si>
  <si>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</si>
  <si>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</si>
  <si>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</si>
  <si>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</si>
  <si>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</si>
  <si>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</si>
  <si>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</si>
  <si>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</si>
  <si>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</si>
  <si>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</si>
  <si>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</si>
  <si>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</si>
  <si>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</si>
  <si>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</si>
  <si>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</si>
  <si>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</si>
  <si>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</si>
  <si>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</si>
  <si>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</si>
  <si>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</si>
  <si>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</si>
  <si>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</si>
  <si>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</si>
  <si>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</si>
  <si>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</si>
  <si>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</si>
  <si>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</si>
  <si>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</si>
  <si>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</si>
  <si>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</si>
  <si>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</si>
  <si>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</si>
  <si>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</si>
  <si>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</si>
  <si>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</si>
  <si>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</si>
  <si>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</si>
  <si>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</si>
  <si>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</si>
  <si>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</si>
  <si>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</si>
  <si>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</si>
  <si>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</si>
  <si>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</si>
  <si>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</si>
  <si>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</si>
  <si>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</si>
  <si>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</si>
  <si>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</si>
  <si>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</si>
  <si>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</si>
  <si>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</si>
  <si>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</si>
  <si>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</si>
  <si>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</si>
  <si>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</si>
  <si>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</si>
  <si>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</si>
  <si>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</si>
  <si>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</si>
  <si>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</si>
  <si>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</si>
  <si>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</si>
  <si>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</si>
  <si>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</si>
  <si>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</si>
  <si>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</si>
  <si>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</si>
  <si>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</si>
  <si>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</si>
  <si>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</si>
  <si>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</si>
  <si>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</si>
  <si>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</si>
  <si>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</si>
  <si>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</si>
  <si>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</si>
  <si>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</si>
  <si>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</si>
  <si>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</si>
  <si>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</si>
  <si>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</si>
  <si>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</si>
  <si>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</si>
  <si>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</si>
  <si>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</si>
  <si>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</si>
  <si>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</si>
  <si>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</si>
  <si>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</si>
  <si>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</si>
  <si>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</si>
  <si>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</si>
  <si>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</si>
  <si>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</si>
  <si>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</si>
  <si>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</si>
  <si>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</si>
  <si>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</si>
  <si>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</si>
  <si>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</si>
  <si>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</si>
  <si>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</si>
  <si>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</si>
  <si>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</si>
  <si>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</si>
  <si>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</si>
  <si>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</si>
  <si>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</si>
  <si>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</si>
  <si>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</si>
  <si>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</si>
  <si>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</si>
  <si>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</si>
  <si>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</si>
  <si>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</si>
  <si>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</si>
  <si>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</si>
  <si>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</si>
  <si>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</si>
  <si>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</si>
  <si>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</si>
  <si>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</si>
  <si>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</si>
  <si>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</si>
  <si>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</si>
  <si>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</si>
  <si>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</si>
  <si>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</si>
  <si>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</si>
  <si>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</si>
  <si>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</si>
  <si>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</si>
  <si>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</si>
  <si>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</si>
  <si>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</si>
  <si>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</si>
  <si>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</si>
  <si>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</si>
  <si>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</si>
  <si>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</si>
  <si>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</si>
  <si>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</si>
  <si>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</si>
  <si>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</si>
  <si>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</si>
  <si>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</si>
  <si>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</si>
  <si>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</si>
  <si>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</si>
  <si>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</si>
  <si>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</si>
  <si>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</si>
  <si>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</si>
  <si>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</si>
  <si>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</si>
  <si>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</si>
  <si>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</si>
  <si>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</si>
  <si>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</si>
  <si>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</si>
  <si>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</si>
  <si>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</si>
  <si>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</si>
  <si>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</si>
  <si>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</si>
  <si>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</si>
  <si>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</si>
  <si>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</si>
  <si>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</si>
  <si>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</si>
  <si>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</si>
  <si>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</si>
  <si>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</si>
  <si>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</si>
  <si>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</si>
  <si>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</si>
  <si>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</si>
  <si>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</si>
  <si>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</si>
  <si>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</si>
  <si>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</si>
  <si>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</si>
  <si>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</si>
  <si>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</si>
  <si>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</si>
  <si>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</si>
  <si>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</si>
  <si>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</si>
  <si>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</si>
  <si>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</si>
  <si>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</si>
  <si>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</si>
  <si>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</si>
  <si>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</si>
  <si>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</si>
  <si>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</si>
  <si>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</si>
  <si>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</si>
  <si>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</si>
  <si>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</si>
  <si>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</si>
  <si>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</si>
  <si>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</si>
  <si>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</si>
  <si>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</si>
  <si>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</si>
  <si>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</si>
  <si>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</si>
  <si>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</si>
  <si>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</si>
  <si>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</si>
  <si>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</si>
  <si>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</si>
  <si>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</si>
  <si>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</si>
  <si>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</si>
  <si>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</si>
  <si>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</si>
  <si>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</si>
  <si>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</si>
  <si>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</si>
  <si>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</si>
  <si>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</si>
  <si>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</si>
  <si>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</si>
  <si>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</si>
  <si>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</si>
  <si>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</si>
  <si>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</si>
  <si>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</si>
  <si>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</si>
  <si>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</si>
  <si>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</si>
  <si>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</si>
  <si>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</si>
  <si>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</si>
  <si>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</si>
  <si>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</si>
  <si>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</si>
  <si>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</si>
  <si>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</si>
  <si>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</si>
  <si>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</si>
  <si>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</si>
  <si>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</si>
  <si>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</si>
  <si>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</si>
  <si>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</si>
  <si>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</si>
  <si>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</si>
  <si>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</si>
  <si>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</si>
  <si>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</si>
  <si>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</si>
  <si>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</si>
  <si>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</si>
  <si>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</si>
  <si>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</si>
  <si>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</si>
  <si>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</si>
  <si>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</si>
  <si>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</si>
  <si>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</si>
  <si>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</si>
  <si>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</si>
  <si>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</si>
  <si>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</si>
  <si>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</si>
  <si>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</si>
  <si>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</si>
  <si>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</si>
  <si>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</si>
  <si>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</si>
  <si>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</si>
  <si>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</si>
  <si>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</si>
  <si>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</si>
  <si>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</si>
  <si>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</si>
  <si>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</si>
  <si>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</si>
  <si>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</si>
  <si>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</si>
  <si>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</si>
  <si>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</si>
  <si>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</si>
  <si>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</si>
  <si>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</si>
  <si>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</si>
  <si>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</si>
  <si>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</si>
  <si>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</si>
  <si>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</si>
  <si>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</si>
  <si>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</si>
  <si>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</si>
  <si>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</si>
  <si>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</si>
  <si>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</si>
  <si>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</si>
  <si>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</si>
  <si>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</si>
  <si>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</si>
  <si>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</si>
  <si>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</si>
  <si>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</si>
  <si>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</si>
  <si>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</si>
  <si>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</si>
  <si>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</si>
  <si>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</si>
  <si>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</si>
  <si>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</si>
  <si>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</si>
  <si>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</si>
  <si>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</si>
  <si>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</si>
  <si>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</si>
  <si>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</si>
  <si>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</si>
  <si>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</si>
  <si>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</si>
  <si>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</si>
  <si>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</si>
  <si>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</si>
  <si>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</si>
  <si>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</si>
  <si>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</si>
  <si>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</si>
  <si>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</si>
  <si>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</si>
  <si>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</si>
  <si>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</si>
  <si>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</si>
  <si>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</si>
  <si>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</si>
  <si>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</si>
  <si>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</si>
  <si>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</si>
  <si>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</si>
  <si>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</si>
  <si>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</si>
  <si>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</si>
  <si>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</si>
  <si>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</si>
  <si>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</si>
  <si>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</si>
  <si>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</si>
  <si>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</si>
  <si>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</si>
  <si>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</si>
  <si>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</si>
  <si>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</si>
  <si>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</si>
  <si>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</si>
  <si>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</si>
  <si>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</si>
  <si>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</si>
  <si>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</si>
  <si>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</si>
  <si>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</si>
  <si>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</si>
  <si>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</si>
  <si>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</si>
  <si>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</si>
  <si>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</si>
  <si>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</si>
  <si>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</si>
  <si>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</si>
  <si>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</si>
  <si>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</si>
  <si>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</si>
  <si>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</si>
  <si>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</si>
  <si>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</si>
  <si>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</si>
  <si>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</si>
  <si>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</si>
  <si>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</si>
  <si>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</si>
  <si>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</si>
  <si>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</si>
  <si>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</si>
  <si>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</si>
  <si>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</si>
  <si>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</si>
  <si>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</si>
  <si>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</si>
  <si>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</si>
  <si>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</si>
  <si>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</si>
  <si>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</si>
  <si>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</si>
  <si>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</si>
  <si>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</si>
  <si>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</si>
  <si>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</si>
  <si>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</si>
  <si>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</si>
  <si>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</si>
  <si>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</si>
  <si>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</si>
  <si>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</si>
  <si>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</si>
  <si>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</si>
  <si>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</si>
  <si>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</si>
  <si>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</si>
  <si>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</si>
  <si>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</si>
  <si>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</si>
  <si>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</si>
  <si>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</si>
  <si>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</si>
  <si>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</si>
  <si>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</si>
  <si>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</si>
  <si>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</si>
  <si>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</si>
  <si>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</si>
  <si>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</si>
  <si>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</si>
  <si>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</si>
  <si>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</si>
  <si>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</si>
  <si>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</si>
  <si>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</si>
  <si>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</si>
  <si>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</si>
  <si>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</si>
  <si>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</si>
  <si>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</si>
  <si>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</si>
  <si>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</si>
  <si>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</si>
  <si>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</si>
  <si>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</si>
  <si>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</si>
  <si>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</si>
  <si>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</si>
  <si>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</si>
  <si>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</si>
  <si>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</si>
  <si>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</si>
  <si>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</si>
  <si>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</si>
  <si>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</si>
  <si>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</si>
  <si>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</si>
  <si>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</si>
  <si>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</si>
  <si>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</si>
  <si>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</si>
  <si>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</si>
  <si>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</si>
  <si>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</si>
  <si>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</si>
  <si>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</si>
  <si>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</si>
  <si>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</si>
  <si>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</si>
  <si>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</si>
  <si>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</si>
  <si>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</si>
  <si>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</si>
  <si>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</si>
  <si>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</si>
  <si>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</si>
  <si>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</si>
  <si>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</si>
  <si>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</si>
  <si>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</si>
  <si>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</si>
  <si>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</si>
  <si>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</si>
  <si>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</si>
  <si>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</si>
  <si>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</si>
  <si>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</si>
  <si>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</si>
  <si>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</si>
  <si>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</si>
  <si>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</si>
  <si>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</si>
  <si>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</si>
  <si>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</si>
  <si>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</si>
  <si>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</si>
  <si>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</si>
  <si>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</si>
  <si>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</si>
  <si>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</si>
  <si>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</si>
  <si>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</si>
  <si>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</si>
  <si>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</si>
  <si>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</si>
  <si>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</si>
  <si>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</si>
  <si>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</si>
  <si>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</si>
  <si>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</si>
  <si>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</si>
  <si>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</si>
  <si>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</si>
  <si>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</si>
  <si>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</si>
  <si>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</si>
  <si>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</si>
  <si>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</si>
  <si>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</si>
  <si>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</si>
  <si>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</si>
  <si>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</si>
  <si>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</si>
  <si>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</si>
  <si>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</si>
  <si>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</si>
  <si>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</si>
  <si>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</si>
  <si>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</si>
  <si>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</si>
  <si>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</si>
  <si>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</si>
  <si>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</si>
  <si>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</si>
  <si>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</si>
  <si>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</si>
  <si>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</si>
  <si>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</si>
  <si>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</si>
  <si>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</si>
  <si>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</si>
  <si>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</si>
  <si>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</si>
  <si>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</si>
  <si>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</si>
  <si>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</si>
  <si>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</si>
  <si>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</si>
  <si>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</si>
  <si>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</si>
  <si>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</si>
  <si>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</si>
  <si>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</si>
  <si>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</si>
  <si>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</si>
  <si>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</si>
  <si>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</si>
  <si>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</si>
  <si>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</si>
  <si>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</si>
  <si>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</si>
  <si>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</si>
  <si>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</si>
  <si>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</si>
  <si>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</si>
  <si>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</si>
  <si>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</si>
  <si>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</si>
  <si>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</si>
  <si>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</si>
  <si>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</si>
  <si>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</si>
  <si>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</si>
  <si>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</si>
  <si>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</si>
  <si>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</si>
  <si>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</si>
  <si>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</si>
  <si>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</si>
  <si>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</si>
  <si>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</si>
  <si>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</si>
  <si>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</si>
  <si>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</si>
  <si>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</si>
  <si>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</si>
  <si>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</si>
  <si>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</si>
  <si>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</si>
  <si>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</si>
  <si>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</si>
  <si>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</si>
  <si>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</si>
  <si>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</si>
  <si>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</si>
  <si>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</si>
  <si>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</si>
  <si>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</si>
  <si>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</si>
  <si>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</si>
  <si>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</si>
  <si>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</si>
  <si>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</si>
  <si>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</si>
  <si>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</si>
  <si>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</si>
  <si>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</si>
  <si>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</si>
  <si>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</si>
  <si>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</si>
  <si>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</si>
  <si>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</si>
  <si>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</si>
  <si>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</si>
  <si>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</si>
  <si>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</si>
  <si>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</si>
  <si>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</si>
  <si>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</si>
  <si>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</si>
  <si>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</si>
  <si>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</si>
  <si>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</si>
  <si>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</si>
  <si>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</si>
  <si>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</si>
  <si>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</si>
  <si>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</si>
  <si>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</si>
  <si>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</si>
  <si>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</si>
  <si>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</si>
  <si>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</si>
  <si>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</si>
  <si>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</si>
  <si>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</si>
  <si>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</si>
  <si>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</si>
  <si>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</si>
  <si>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</si>
  <si>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</si>
  <si>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</si>
  <si>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</si>
  <si>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</si>
  <si>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</si>
  <si>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</si>
  <si>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</si>
  <si>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</si>
  <si>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</si>
  <si>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</si>
  <si>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</si>
  <si>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</si>
  <si>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</si>
  <si>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</si>
  <si>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</si>
  <si>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</si>
  <si>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</si>
  <si>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</si>
  <si>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</si>
  <si>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</si>
  <si>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</si>
  <si>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</si>
  <si>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</si>
  <si>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</si>
  <si>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</si>
  <si>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</si>
  <si>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</si>
  <si>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</si>
  <si>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</si>
  <si>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</si>
  <si>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</si>
  <si>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</si>
  <si>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</si>
  <si>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</si>
  <si>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</si>
  <si>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</si>
  <si>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</si>
  <si>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</si>
  <si>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</si>
  <si>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</si>
  <si>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</si>
  <si>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</si>
  <si>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</si>
  <si>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</si>
  <si>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</si>
  <si>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</si>
  <si>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</si>
  <si>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</si>
  <si>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</si>
  <si>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</si>
  <si>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</si>
  <si>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</si>
  <si>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</si>
  <si>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</si>
  <si>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</si>
  <si>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</si>
  <si>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</si>
  <si>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</si>
  <si>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</si>
  <si>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</si>
  <si>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</si>
  <si>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</si>
  <si>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</si>
  <si>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</si>
  <si>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</si>
  <si>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</si>
  <si>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</si>
  <si>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</si>
  <si>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</si>
  <si>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</si>
  <si>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</si>
  <si>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</si>
  <si>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</si>
  <si>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</si>
  <si>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</si>
  <si>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</si>
  <si>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</si>
  <si>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</si>
  <si>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</si>
  <si>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</si>
  <si>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</si>
  <si>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</si>
  <si>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</si>
  <si>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</si>
  <si>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</si>
  <si>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</si>
  <si>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</si>
  <si>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</si>
  <si>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</si>
  <si>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</si>
  <si>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</si>
  <si>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</si>
  <si>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</si>
  <si>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</si>
  <si>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</si>
  <si>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</si>
  <si>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</si>
  <si>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</si>
  <si>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</si>
  <si>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</si>
  <si>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</si>
  <si>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</si>
  <si>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</si>
  <si>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</si>
  <si>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</si>
  <si>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</si>
  <si>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</si>
  <si>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</si>
  <si>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</si>
  <si>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</si>
  <si>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</si>
  <si>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</si>
  <si>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</si>
  <si>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</si>
  <si>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</si>
  <si>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</si>
  <si>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</si>
  <si>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</si>
  <si>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</si>
  <si>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</si>
  <si>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</si>
  <si>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</si>
  <si>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</si>
  <si>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</si>
  <si>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</si>
  <si>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</si>
  <si>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</si>
  <si>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</si>
  <si>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</si>
  <si>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</si>
  <si>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</si>
  <si>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</si>
  <si>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</si>
  <si>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</si>
  <si>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</si>
  <si>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</si>
  <si>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</si>
  <si>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</si>
  <si>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</si>
  <si>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</si>
  <si>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</si>
  <si>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</si>
  <si>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</si>
  <si>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</si>
  <si>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</si>
  <si>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</si>
  <si>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</si>
  <si>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</si>
  <si>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</si>
  <si>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</si>
  <si>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</si>
  <si>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</si>
  <si>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</si>
  <si>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</si>
  <si>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</si>
  <si>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</si>
  <si>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</si>
  <si>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</si>
  <si>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</si>
  <si>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</si>
  <si>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</si>
  <si>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</si>
  <si>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</si>
  <si>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</si>
  <si>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</si>
  <si>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</si>
  <si>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</si>
  <si>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</si>
  <si>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</si>
  <si>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</si>
  <si>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</si>
  <si>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</si>
  <si>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</si>
  <si>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</si>
  <si>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</si>
  <si>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</si>
  <si>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</si>
  <si>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</si>
  <si>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</si>
  <si>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</si>
  <si>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</si>
  <si>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</si>
  <si>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</si>
  <si>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</si>
  <si>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</si>
  <si>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</si>
  <si>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</si>
  <si>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</si>
  <si>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</si>
  <si>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</si>
  <si>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</si>
  <si>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</si>
  <si>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</si>
  <si>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</si>
  <si>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</si>
  <si>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</si>
  <si>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</si>
  <si>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</si>
  <si>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</si>
  <si>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</si>
  <si>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</si>
  <si>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</si>
  <si>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</si>
  <si>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</si>
  <si>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</si>
  <si>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</si>
  <si>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</si>
  <si>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</si>
  <si>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</si>
  <si>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</si>
  <si>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</si>
  <si>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</si>
  <si>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</si>
  <si>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</si>
  <si>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</si>
  <si>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</si>
  <si>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</si>
  <si>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</si>
  <si>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</si>
  <si>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</si>
  <si>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</si>
  <si>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</si>
  <si>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</si>
  <si>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</si>
  <si>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</si>
  <si>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</si>
  <si>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</si>
  <si>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</si>
  <si>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</si>
  <si>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</si>
  <si>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</si>
  <si>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</si>
  <si>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</si>
  <si>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</si>
  <si>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</si>
  <si>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</si>
  <si>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</si>
  <si>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</si>
  <si>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</si>
  <si>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</si>
  <si>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</si>
  <si>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</si>
  <si>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</si>
  <si>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</si>
  <si>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</si>
  <si>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</si>
  <si>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</si>
  <si>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</si>
  <si>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</si>
  <si>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</si>
  <si>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</si>
  <si>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</si>
  <si>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</si>
  <si>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</si>
  <si>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</si>
  <si>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</si>
  <si>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</si>
  <si>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</si>
  <si>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</si>
  <si>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</si>
  <si>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</si>
  <si>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</si>
  <si>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</si>
  <si>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</si>
  <si>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</si>
  <si>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</si>
  <si>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</si>
  <si>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</si>
  <si>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</si>
  <si>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</si>
  <si>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</si>
  <si>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</si>
  <si>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</si>
  <si>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</si>
  <si>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</si>
  <si>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</si>
  <si>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</si>
  <si>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</si>
  <si>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</si>
  <si>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</si>
  <si>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</si>
  <si>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</si>
  <si>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</si>
  <si>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</si>
  <si>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</si>
  <si>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</si>
  <si>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</si>
  <si>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</si>
  <si>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</si>
  <si>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</si>
  <si>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</si>
  <si>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</si>
  <si>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</si>
  <si>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</si>
  <si>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</si>
  <si>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</si>
  <si>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</si>
  <si>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</si>
  <si>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</si>
  <si>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</si>
  <si>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</si>
  <si>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</si>
  <si>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</si>
  <si>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</si>
  <si>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</si>
  <si>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</si>
  <si>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</si>
  <si>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</si>
  <si>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</si>
  <si>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</si>
  <si>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</si>
  <si>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</si>
  <si>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</si>
  <si>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</si>
  <si>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</si>
  <si>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</si>
  <si>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</si>
  <si>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</si>
  <si>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</si>
  <si>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</si>
  <si>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</si>
  <si>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</si>
  <si>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</si>
  <si>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</si>
  <si>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</si>
  <si>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</si>
  <si>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</si>
  <si>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</si>
  <si>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</si>
  <si>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</si>
  <si>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</si>
  <si>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</si>
  <si>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</si>
  <si>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</si>
  <si>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</si>
  <si>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</si>
  <si>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</si>
  <si>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</si>
  <si>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</si>
  <si>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</si>
  <si>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</si>
  <si>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</si>
  <si>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</si>
  <si>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</si>
  <si>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</si>
  <si>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</si>
  <si>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</si>
  <si>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</si>
  <si>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</si>
  <si>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</si>
  <si>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</si>
  <si>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</si>
  <si>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</si>
  <si>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</si>
  <si>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</si>
  <si>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</si>
  <si>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</si>
  <si>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</si>
  <si>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</si>
  <si>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</si>
  <si>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</si>
  <si>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</si>
  <si>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</si>
  <si>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</si>
  <si>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</si>
  <si>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</si>
  <si>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</si>
  <si>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</si>
  <si>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</si>
  <si>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</si>
  <si>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</si>
  <si>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</si>
  <si>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</si>
  <si>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</si>
  <si>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</si>
  <si>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</si>
  <si>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</si>
  <si>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</si>
  <si>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</si>
  <si>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</si>
  <si>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</si>
  <si>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</si>
  <si>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</si>
  <si>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</si>
  <si>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</si>
  <si>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</si>
  <si>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</si>
  <si>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</si>
  <si>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</si>
  <si>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</si>
  <si>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</si>
  <si>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</si>
  <si>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</si>
  <si>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</si>
  <si>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</si>
  <si>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</si>
  <si>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</si>
  <si>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</si>
  <si>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</si>
  <si>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</si>
  <si>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</si>
  <si>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</si>
  <si>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</si>
  <si>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</si>
  <si>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</si>
  <si>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</si>
  <si>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</si>
  <si>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</si>
  <si>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</si>
  <si>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</si>
  <si>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</si>
  <si>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</si>
  <si>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</si>
  <si>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</si>
  <si>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</si>
  <si>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</si>
  <si>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</si>
  <si>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</si>
  <si>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</si>
  <si>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</si>
  <si>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</si>
  <si>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</si>
  <si>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</si>
  <si>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</si>
  <si>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</si>
  <si>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</si>
  <si>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</si>
  <si>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</si>
  <si>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</si>
  <si>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</si>
  <si>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</si>
  <si>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</si>
  <si>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</si>
  <si>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</si>
  <si>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</si>
  <si>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</si>
  <si>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</si>
  <si>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</si>
  <si>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</si>
  <si>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</si>
  <si>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</si>
  <si>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</si>
  <si>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</si>
  <si>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</si>
  <si>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</si>
  <si>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</si>
  <si>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</si>
  <si>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</si>
  <si>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</si>
  <si>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</si>
  <si>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</si>
  <si>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</si>
  <si>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</si>
  <si>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</si>
  <si>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</si>
  <si>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</si>
  <si>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</si>
  <si>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</si>
  <si>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</si>
  <si>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</si>
  <si>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</si>
  <si>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</si>
  <si>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</si>
  <si>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</si>
  <si>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</si>
  <si>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</si>
  <si>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</si>
  <si>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</si>
  <si>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</si>
  <si>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</si>
  <si>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</si>
  <si>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</si>
  <si>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</si>
  <si>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</si>
  <si>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</si>
  <si>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</si>
  <si>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</si>
  <si>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</si>
  <si>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</si>
  <si>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</si>
  <si>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</si>
  <si>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</si>
  <si>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</si>
  <si>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</si>
  <si>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</si>
  <si>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</si>
  <si>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</si>
  <si>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</si>
  <si>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</si>
  <si>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</si>
  <si>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</si>
  <si>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</si>
  <si>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</si>
  <si>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</si>
  <si>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</si>
  <si>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</si>
  <si>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</si>
  <si>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</si>
  <si>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</si>
  <si>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</si>
  <si>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</si>
  <si>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</si>
  <si>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</si>
  <si>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</si>
  <si>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</si>
  <si>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</si>
  <si>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</si>
  <si>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</si>
  <si>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</si>
  <si>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</si>
  <si>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</si>
  <si>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</si>
  <si>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</si>
  <si>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</si>
  <si>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</si>
  <si>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</si>
  <si>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</si>
  <si>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</si>
  <si>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</si>
  <si>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</si>
  <si>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</si>
  <si>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</si>
  <si>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</si>
  <si>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</si>
  <si>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</si>
  <si>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</si>
  <si>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</si>
  <si>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</si>
  <si>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</si>
  <si>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</si>
  <si>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</si>
  <si>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</si>
  <si>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</si>
  <si>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</si>
  <si>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</si>
  <si>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</si>
  <si>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</si>
  <si>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</si>
  <si>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</si>
  <si>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</si>
  <si>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</si>
  <si>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</si>
  <si>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</si>
  <si>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</si>
  <si>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</si>
  <si>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</si>
  <si>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</si>
  <si>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</si>
  <si>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</si>
  <si>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</si>
  <si>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</si>
  <si>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</si>
  <si>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</si>
  <si>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</si>
  <si>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</si>
  <si>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</si>
  <si>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</si>
  <si>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</si>
  <si>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</si>
  <si>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</si>
  <si>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</si>
  <si>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</si>
  <si>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</si>
  <si>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</si>
  <si>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</si>
  <si>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</si>
  <si>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</si>
  <si>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</si>
  <si>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</si>
  <si>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</si>
  <si>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</si>
  <si>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</si>
  <si>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</si>
  <si>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</si>
  <si>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</si>
  <si>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</si>
  <si>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</si>
  <si>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</si>
  <si>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</si>
  <si>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</si>
  <si>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</si>
  <si>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</si>
  <si>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</si>
  <si>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</si>
  <si>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</si>
  <si>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</si>
  <si>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</si>
  <si>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</si>
  <si>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</si>
  <si>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</si>
  <si>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</si>
  <si>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</si>
  <si>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</si>
  <si>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</si>
  <si>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</si>
  <si>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</si>
  <si>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</si>
  <si>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</si>
  <si>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</si>
  <si>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</si>
  <si>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</si>
  <si>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</si>
  <si>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</si>
  <si>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</si>
  <si>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</si>
  <si>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</si>
  <si>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</si>
  <si>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</si>
  <si>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</si>
  <si>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</si>
  <si>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</si>
  <si>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</si>
  <si>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</si>
  <si>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</si>
  <si>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</si>
  <si>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</si>
  <si>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</si>
  <si>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</si>
  <si>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</si>
  <si>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</si>
  <si>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</si>
  <si>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</si>
  <si>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</si>
  <si>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</si>
  <si>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</si>
  <si>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</si>
  <si>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</si>
  <si>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</si>
  <si>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</si>
  <si>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</si>
  <si>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</si>
  <si>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</si>
  <si>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</si>
  <si>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</si>
  <si>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</si>
  <si>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</si>
  <si>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</si>
  <si>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</si>
  <si>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</si>
  <si>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</si>
  <si>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</si>
  <si>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</si>
  <si>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</si>
  <si>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</si>
  <si>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</si>
  <si>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</si>
  <si>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</si>
  <si>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</si>
  <si>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</si>
  <si>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</si>
  <si>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</si>
  <si>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</si>
  <si>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</si>
  <si>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</si>
  <si>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</si>
  <si>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</si>
  <si>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</si>
  <si>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</si>
  <si>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</si>
  <si>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</si>
  <si>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</si>
  <si>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</si>
  <si>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</si>
  <si>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</si>
  <si>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</si>
  <si>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</si>
  <si>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</si>
  <si>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</si>
  <si>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</si>
  <si>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</si>
  <si>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</si>
  <si>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</si>
  <si>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</si>
  <si>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</si>
  <si>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</si>
  <si>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</si>
  <si>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</si>
  <si>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</si>
  <si>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</si>
  <si>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</si>
  <si>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</si>
  <si>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</si>
  <si>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</si>
  <si>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</si>
  <si>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</si>
  <si>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</si>
  <si>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</si>
  <si>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</si>
  <si>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</si>
  <si>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</si>
  <si>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</si>
  <si>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</si>
  <si>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</si>
  <si>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</si>
  <si>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</si>
  <si>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</si>
  <si>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</si>
  <si>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</si>
  <si>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</si>
  <si>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</si>
  <si>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</si>
  <si>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</si>
  <si>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</si>
  <si>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</si>
  <si>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</si>
  <si>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</si>
  <si>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</si>
  <si>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</si>
  <si>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</si>
  <si>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</si>
  <si>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</si>
  <si>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</si>
  <si>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</si>
  <si>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</si>
  <si>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</si>
  <si>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</si>
  <si>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</si>
  <si>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</si>
  <si>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</si>
  <si>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</si>
  <si>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</si>
  <si>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</si>
  <si>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</si>
  <si>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</si>
  <si>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</si>
  <si>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</si>
  <si>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</si>
  <si>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</si>
  <si>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</si>
  <si>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</si>
  <si>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</si>
  <si>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</si>
  <si>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</si>
  <si>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</si>
  <si>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</si>
  <si>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</si>
  <si>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</si>
  <si>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</si>
  <si>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</si>
  <si>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</si>
  <si>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</si>
  <si>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</si>
  <si>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</si>
  <si>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</si>
  <si>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</si>
  <si>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</si>
  <si>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</si>
  <si>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</si>
  <si>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</si>
  <si>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</si>
  <si>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</si>
  <si>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</si>
  <si>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</si>
  <si>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</si>
  <si>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</si>
  <si>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</si>
  <si>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</si>
  <si>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</si>
  <si>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</si>
  <si>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</si>
  <si>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</si>
  <si>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</si>
  <si>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</si>
  <si>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</si>
  <si>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</si>
  <si>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</si>
  <si>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</si>
  <si>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</si>
  <si>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</si>
  <si>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</si>
  <si>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</si>
  <si>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</si>
  <si>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</si>
  <si>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</si>
  <si>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</si>
  <si>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</si>
  <si>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</si>
  <si>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</si>
  <si>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</si>
  <si>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</si>
  <si>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</si>
  <si>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</si>
  <si>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</si>
  <si>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</si>
  <si>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</si>
  <si>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</si>
  <si>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</si>
  <si>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</si>
  <si>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</si>
  <si>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</si>
  <si>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</si>
  <si>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</si>
  <si>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</si>
  <si>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</si>
  <si>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</si>
  <si>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</si>
  <si>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</si>
  <si>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</si>
  <si>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</si>
  <si>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</si>
  <si>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</si>
  <si>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</si>
  <si>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</si>
  <si>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</si>
  <si>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</si>
  <si>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</si>
  <si>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</si>
  <si>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</si>
  <si>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</si>
  <si>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</si>
  <si>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</si>
  <si>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</si>
  <si>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</si>
  <si>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</si>
  <si>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</si>
  <si>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</si>
  <si>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</si>
  <si>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</si>
  <si>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</si>
  <si>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</si>
  <si>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</si>
  <si>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</si>
  <si>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</si>
  <si>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</si>
  <si>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</si>
  <si>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</si>
  <si>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</si>
  <si>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</si>
  <si>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</si>
  <si>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</si>
  <si>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</si>
  <si>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</si>
  <si>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</si>
  <si>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</si>
  <si>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</si>
  <si>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</si>
  <si>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</si>
  <si>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</si>
  <si>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</si>
  <si>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</si>
  <si>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</si>
  <si>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</si>
  <si>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</si>
  <si>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</si>
  <si>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</si>
  <si>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</si>
  <si>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</si>
  <si>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</si>
  <si>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</si>
  <si>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</si>
  <si>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</si>
  <si>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</si>
  <si>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</si>
  <si>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</si>
  <si>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</si>
  <si>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</si>
  <si>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</si>
  <si>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</si>
  <si>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</si>
  <si>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</si>
  <si>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</si>
  <si>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</si>
  <si>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</si>
  <si>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</si>
  <si>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</si>
  <si>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</si>
  <si>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</si>
  <si>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</si>
  <si>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</si>
  <si>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</si>
  <si>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</si>
  <si>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</si>
  <si>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</si>
  <si>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</si>
  <si>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</si>
  <si>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</si>
  <si>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</si>
  <si>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</si>
  <si>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</si>
  <si>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</si>
  <si>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</si>
  <si>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</si>
  <si>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</si>
  <si>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</si>
  <si>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</si>
  <si>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</si>
  <si>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</si>
  <si>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</si>
  <si>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</si>
  <si>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</si>
  <si>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</si>
  <si>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</si>
  <si>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</si>
  <si>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</si>
  <si>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</si>
  <si>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</si>
  <si>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</si>
  <si>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</si>
  <si>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</si>
  <si>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</si>
  <si>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</si>
  <si>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</si>
  <si>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</si>
  <si>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</si>
  <si>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</si>
  <si>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</si>
  <si>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</si>
  <si>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</si>
  <si>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</si>
  <si>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</si>
  <si>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</si>
  <si>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</si>
  <si>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</si>
  <si>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</si>
  <si>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</si>
  <si>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</si>
  <si>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</si>
  <si>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</si>
  <si>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</si>
  <si>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</si>
  <si>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</si>
  <si>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</si>
  <si>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</si>
  <si>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</si>
  <si>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</si>
  <si>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</si>
  <si>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</si>
  <si>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</si>
  <si>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</si>
  <si>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</si>
  <si>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</si>
  <si>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</si>
  <si>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</si>
  <si>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</si>
  <si>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</si>
  <si>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</si>
  <si>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</si>
  <si>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</si>
  <si>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</si>
  <si>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</si>
  <si>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</si>
  <si>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</si>
  <si>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</si>
  <si>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</si>
  <si>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</si>
  <si>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</si>
  <si>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</si>
  <si>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</si>
  <si>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</si>
  <si>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</si>
  <si>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</si>
  <si>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</si>
  <si>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</si>
  <si>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</si>
  <si>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</si>
  <si>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</si>
  <si>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</si>
  <si>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</si>
  <si>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</si>
  <si>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</si>
  <si>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</si>
  <si>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</si>
  <si>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</si>
  <si>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</si>
  <si>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</si>
  <si>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</si>
  <si>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</si>
  <si>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</si>
  <si>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</si>
  <si>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</si>
  <si>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</si>
  <si>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</si>
  <si>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</si>
  <si>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</si>
  <si>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</si>
  <si>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</si>
  <si>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</si>
  <si>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</si>
  <si>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</si>
  <si>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</si>
  <si>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</si>
  <si>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</si>
  <si>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</si>
  <si>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</si>
  <si>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</si>
  <si>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</si>
  <si>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</si>
  <si>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</si>
  <si>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</si>
  <si>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</si>
  <si>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</si>
  <si>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</si>
  <si>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</si>
  <si>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</si>
  <si>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</si>
  <si>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</si>
  <si>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</si>
  <si>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</si>
  <si>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</si>
  <si>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</si>
  <si>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</si>
  <si>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</si>
  <si>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</si>
  <si>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</si>
  <si>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</si>
  <si>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</si>
  <si>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</si>
  <si>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</si>
  <si>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</si>
  <si>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</si>
  <si>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</si>
  <si>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</si>
  <si>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</si>
  <si>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</si>
  <si>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</si>
  <si>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</si>
  <si>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</si>
  <si>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</si>
  <si>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</si>
  <si>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</si>
  <si>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</si>
  <si>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</si>
  <si>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</si>
  <si>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</si>
  <si>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</si>
  <si>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</si>
  <si>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</si>
  <si>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</si>
  <si>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</si>
  <si>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</si>
  <si>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</si>
  <si>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</si>
  <si>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</si>
  <si>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</si>
  <si>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</si>
  <si>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</si>
  <si>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</si>
  <si>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</si>
  <si>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</si>
  <si>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</si>
  <si>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</si>
  <si>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</si>
  <si>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</si>
  <si>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</si>
  <si>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</si>
  <si>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</si>
  <si>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</si>
  <si>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</si>
  <si>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</si>
  <si>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</si>
  <si>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</si>
  <si>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</si>
  <si>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</si>
  <si>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</si>
  <si>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</si>
  <si>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</si>
  <si>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</si>
  <si>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</si>
  <si>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</si>
  <si>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</si>
  <si>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</si>
  <si>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</si>
  <si>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</si>
  <si>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</si>
  <si>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</si>
  <si>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</si>
  <si>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</si>
  <si>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</si>
  <si>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</si>
  <si>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</si>
  <si>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</si>
  <si>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</si>
  <si>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</si>
  <si>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</si>
  <si>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</si>
  <si>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</si>
  <si>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</si>
  <si>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</si>
  <si>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</si>
  <si>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</si>
  <si>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</si>
  <si>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</si>
  <si>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</si>
  <si>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</si>
  <si>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</si>
  <si>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</si>
  <si>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</si>
  <si>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</si>
  <si>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</si>
  <si>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</si>
  <si>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</si>
  <si>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</si>
  <si>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</si>
  <si>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</si>
  <si>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</si>
  <si>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</si>
  <si>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</si>
  <si>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</si>
  <si>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</si>
  <si>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</si>
  <si>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</si>
  <si>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</si>
  <si>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</si>
  <si>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</si>
  <si>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</si>
  <si>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</si>
  <si>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</si>
  <si>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</si>
  <si>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</si>
  <si>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</si>
  <si>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</si>
  <si>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</si>
  <si>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</si>
  <si>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</si>
  <si>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</si>
  <si>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</si>
  <si>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</si>
  <si>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</si>
  <si>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</si>
  <si>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</si>
  <si>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</si>
  <si>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</si>
  <si>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</si>
  <si>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</si>
  <si>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</si>
  <si>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</si>
  <si>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</si>
  <si>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</si>
  <si>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</si>
  <si>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</si>
  <si>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</si>
  <si>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</si>
  <si>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</si>
  <si>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</si>
  <si>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</si>
  <si>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</si>
  <si>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</si>
  <si>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</si>
  <si>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</si>
  <si>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</si>
  <si>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</si>
  <si>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</si>
  <si>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</si>
  <si>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</si>
  <si>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</si>
  <si>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</si>
  <si>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</si>
  <si>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</si>
  <si>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</si>
  <si>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</si>
  <si>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</si>
  <si>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</si>
  <si>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</si>
  <si>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</si>
  <si>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</si>
  <si>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</si>
  <si>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</si>
  <si>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</si>
  <si>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</si>
  <si>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</si>
  <si>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</si>
  <si>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</si>
  <si>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</si>
  <si>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</si>
  <si>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</si>
  <si>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</si>
  <si>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</si>
  <si>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</si>
  <si>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</si>
  <si>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</si>
  <si>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</si>
  <si>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</si>
  <si>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</si>
  <si>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</si>
  <si>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</si>
  <si>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</si>
  <si>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</si>
  <si>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</si>
  <si>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</si>
  <si>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</si>
  <si>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</si>
  <si>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</si>
  <si>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</si>
  <si>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</si>
  <si>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</si>
  <si>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</si>
  <si>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</si>
  <si>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</si>
  <si>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</si>
  <si>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</si>
  <si>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</si>
  <si>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</si>
  <si>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</si>
  <si>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</si>
  <si>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</si>
  <si>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</si>
  <si>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</si>
  <si>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</si>
  <si>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</si>
  <si>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</si>
  <si>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</si>
  <si>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</si>
  <si>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</si>
  <si>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</si>
  <si>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</si>
  <si>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</si>
  <si>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</si>
  <si>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</si>
  <si>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</si>
  <si>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</si>
  <si>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</si>
  <si>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</si>
  <si>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</si>
  <si>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</si>
  <si>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</si>
  <si>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</si>
  <si>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</si>
  <si>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</si>
  <si>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</si>
  <si>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</si>
  <si>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</si>
  <si>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</si>
  <si>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</si>
  <si>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</si>
  <si>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</si>
  <si>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</si>
  <si>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</si>
  <si>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</si>
  <si>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</si>
  <si>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</si>
  <si>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</si>
  <si>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</si>
  <si>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</si>
  <si>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</si>
  <si>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</si>
  <si>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</si>
  <si>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</si>
  <si>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</si>
  <si>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</si>
  <si>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</si>
  <si>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</si>
  <si>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</si>
  <si>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</si>
  <si>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</si>
  <si>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</si>
  <si>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</si>
  <si>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</si>
  <si>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</si>
  <si>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</si>
  <si>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</si>
  <si>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</si>
  <si>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</si>
  <si>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</si>
  <si>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</si>
  <si>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</si>
  <si>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</si>
  <si>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</si>
  <si>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</si>
  <si>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</si>
  <si>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</si>
  <si>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</si>
  <si>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</si>
  <si>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</si>
  <si>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</si>
  <si>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</si>
  <si>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</si>
  <si>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</si>
  <si>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</si>
  <si>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</si>
  <si>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</si>
  <si>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</si>
  <si>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</si>
  <si>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</si>
  <si>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</si>
  <si>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</si>
  <si>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</si>
  <si>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</si>
  <si>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</si>
  <si>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</si>
  <si>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</si>
  <si>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</si>
  <si>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</si>
  <si>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</si>
  <si>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</si>
  <si>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</si>
  <si>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</si>
  <si>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</si>
  <si>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</si>
  <si>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</si>
  <si>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</si>
  <si>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</si>
  <si>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</si>
  <si>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</si>
  <si>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</si>
  <si>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</si>
  <si>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</si>
  <si>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</si>
  <si>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</si>
  <si>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</si>
  <si>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</si>
  <si>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</si>
  <si>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</si>
  <si>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</si>
  <si>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</si>
  <si>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</si>
  <si>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</si>
  <si>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</si>
  <si>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</si>
  <si>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</si>
  <si>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</si>
  <si>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</si>
  <si>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</si>
  <si>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</si>
  <si>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</si>
  <si>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</si>
  <si>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</si>
  <si>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</si>
  <si>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</si>
  <si>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</si>
  <si>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</si>
  <si>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</si>
  <si>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</si>
  <si>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</si>
  <si>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</si>
  <si>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</si>
  <si>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</si>
  <si>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</si>
  <si>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</si>
  <si>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</si>
  <si>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</si>
  <si>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</si>
  <si>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</si>
  <si>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</si>
  <si>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</si>
  <si>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</si>
  <si>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</si>
  <si>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</si>
  <si>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</si>
  <si>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</si>
  <si>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</si>
  <si>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</si>
  <si>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</si>
  <si>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</si>
  <si>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</si>
  <si>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</si>
  <si>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</si>
  <si>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</si>
  <si>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</si>
  <si>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</si>
  <si>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</si>
  <si>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</si>
  <si>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</si>
  <si>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</si>
  <si>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</si>
  <si>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</si>
  <si>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</si>
  <si>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</si>
  <si>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</si>
  <si>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</si>
  <si>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</si>
  <si>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</si>
  <si>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</si>
  <si>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</si>
  <si>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</si>
  <si>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</si>
  <si>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</si>
  <si>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</si>
  <si>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</si>
  <si>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</si>
  <si>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</si>
  <si>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</si>
  <si>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</si>
  <si>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</si>
  <si>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</si>
  <si>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</si>
  <si>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</si>
  <si>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</si>
  <si>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</si>
  <si>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</si>
  <si>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</si>
  <si>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</si>
  <si>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</si>
  <si>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</si>
  <si>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</si>
  <si>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</si>
  <si>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</si>
  <si>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</si>
  <si>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</si>
  <si>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</si>
  <si>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</si>
  <si>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</si>
  <si>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</si>
  <si>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</si>
  <si>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</si>
  <si>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</si>
  <si>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</si>
  <si>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</si>
  <si>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</si>
  <si>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</si>
  <si>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</si>
  <si>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</si>
  <si>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</si>
  <si>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</si>
  <si>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</si>
  <si>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</si>
  <si>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</si>
  <si>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</si>
  <si>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</si>
  <si>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</si>
  <si>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</si>
  <si>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</si>
  <si>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</si>
  <si>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</si>
  <si>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</si>
  <si>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</si>
  <si>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</si>
  <si>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</si>
  <si>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</si>
  <si>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</si>
  <si>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</si>
  <si>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</si>
  <si>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</si>
  <si>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</si>
  <si>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</si>
  <si>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</si>
  <si>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</si>
  <si>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</si>
  <si>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</si>
  <si>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</si>
  <si>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</si>
  <si>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</si>
  <si>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</si>
  <si>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</si>
  <si>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</si>
  <si>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</si>
  <si>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</si>
  <si>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</si>
  <si>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</si>
  <si>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</si>
  <si>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</si>
  <si>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</si>
  <si>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</si>
  <si>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</si>
  <si>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</si>
  <si>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</si>
  <si>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</si>
  <si>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</si>
  <si>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</si>
  <si>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</si>
  <si>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</si>
  <si>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</si>
  <si>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</si>
  <si>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</si>
  <si>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</si>
  <si>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</si>
  <si>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</si>
  <si>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</si>
  <si>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</si>
  <si>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</si>
  <si>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</si>
  <si>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</si>
  <si>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</si>
  <si>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</si>
  <si>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</si>
  <si>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</si>
  <si>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</si>
  <si>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</si>
  <si>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</si>
  <si>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</si>
  <si>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</si>
  <si>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</si>
  <si>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</si>
  <si>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</si>
  <si>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</si>
  <si>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</si>
  <si>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</si>
  <si>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</si>
  <si>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</si>
  <si>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</si>
  <si>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</si>
  <si>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</si>
  <si>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</si>
  <si>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</si>
  <si>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</si>
  <si>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</si>
  <si>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</si>
  <si>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</si>
  <si>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</si>
  <si>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</si>
  <si>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</si>
  <si>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</si>
  <si>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</si>
  <si>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</si>
  <si>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</si>
  <si>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</si>
  <si>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</si>
  <si>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</si>
  <si>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</si>
  <si>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</si>
  <si>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</si>
  <si>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</si>
  <si>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</si>
  <si>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</si>
  <si>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</si>
  <si>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</si>
  <si>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</si>
  <si>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</si>
  <si>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</si>
  <si>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</si>
  <si>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</si>
  <si>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</si>
  <si>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</si>
  <si>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</si>
  <si>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</si>
  <si>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</si>
  <si>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</si>
  <si>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</si>
  <si>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</si>
  <si>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</si>
  <si>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</si>
  <si>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</si>
  <si>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</si>
  <si>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</si>
  <si>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</si>
  <si>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</si>
  <si>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</si>
  <si>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</si>
  <si>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</si>
  <si>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</si>
  <si>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</si>
  <si>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</si>
  <si>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</si>
  <si>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</si>
  <si>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</si>
  <si>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</si>
  <si>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</si>
  <si>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</si>
  <si>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</si>
  <si>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</si>
  <si>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</si>
  <si>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</si>
  <si>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</si>
  <si>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</si>
  <si>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</si>
  <si>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</si>
  <si>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</si>
  <si>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</si>
  <si>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</si>
  <si>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</si>
  <si>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</si>
  <si>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</si>
  <si>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</si>
  <si>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</si>
  <si>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</si>
  <si>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</si>
  <si>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</si>
  <si>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</si>
  <si>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</si>
  <si>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</si>
  <si>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</si>
  <si>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</si>
  <si>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</si>
  <si>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</si>
  <si>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</si>
  <si>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</si>
  <si>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</si>
  <si>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</si>
  <si>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</si>
  <si>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</si>
  <si>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</si>
  <si>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</si>
  <si>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</si>
  <si>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</si>
  <si>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</si>
  <si>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</si>
  <si>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</si>
  <si>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</si>
  <si>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</si>
  <si>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</si>
  <si>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</si>
  <si>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</si>
  <si>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</si>
  <si>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</si>
  <si>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</si>
  <si>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</si>
  <si>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</si>
  <si>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</si>
  <si>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</si>
  <si>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</si>
  <si>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</si>
  <si>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</si>
  <si>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</si>
  <si>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</si>
  <si>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</si>
  <si>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</si>
  <si>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</si>
  <si>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</si>
  <si>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</si>
  <si>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</si>
  <si>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</si>
  <si>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</si>
  <si>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</si>
  <si>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</si>
  <si>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</si>
  <si>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</si>
  <si>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</si>
  <si>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</si>
  <si>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</si>
  <si>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</si>
  <si>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</si>
  <si>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</si>
  <si>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</si>
  <si>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</si>
  <si>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</si>
  <si>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</si>
  <si>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</si>
  <si>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</si>
  <si>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</si>
  <si>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</si>
  <si>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</si>
  <si>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</si>
  <si>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</si>
  <si>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</si>
  <si>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</si>
  <si>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</si>
  <si>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</si>
  <si>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</si>
  <si>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</si>
  <si>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</si>
  <si>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</si>
  <si>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</si>
  <si>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</si>
  <si>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</si>
  <si>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</si>
  <si>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</si>
  <si>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</si>
  <si>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</si>
  <si>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</si>
  <si>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</si>
  <si>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</si>
  <si>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</si>
  <si>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</si>
  <si>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</si>
  <si>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</si>
  <si>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</si>
  <si>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</si>
  <si>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</si>
  <si>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</si>
  <si>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</si>
  <si>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</si>
  <si>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</si>
  <si>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</si>
  <si>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</si>
  <si>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</si>
  <si>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</si>
  <si>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</si>
  <si>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</si>
  <si>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</si>
  <si>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</si>
  <si>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</si>
  <si>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</si>
  <si>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</si>
  <si>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</si>
  <si>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</si>
  <si>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</si>
  <si>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</si>
  <si>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</si>
  <si>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</si>
  <si>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</si>
  <si>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</si>
  <si>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</si>
  <si>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</si>
  <si>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</si>
  <si>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</si>
  <si>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</si>
  <si>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</si>
  <si>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</si>
  <si>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</si>
  <si>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</si>
  <si>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</si>
  <si>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</si>
  <si>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</si>
  <si>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</si>
  <si>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</si>
  <si>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</si>
  <si>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</si>
  <si>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</si>
  <si>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</si>
  <si>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</si>
  <si>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</si>
  <si>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</si>
  <si>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</si>
  <si>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</si>
  <si>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</si>
  <si>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</si>
  <si>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</si>
  <si>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</si>
  <si>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</si>
  <si>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</si>
  <si>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</si>
  <si>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</si>
  <si>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</si>
  <si>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</si>
  <si>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</si>
  <si>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</si>
  <si>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</si>
  <si>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</si>
  <si>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</si>
  <si>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</si>
  <si>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</si>
  <si>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</si>
  <si>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</si>
  <si>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</si>
  <si>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</si>
  <si>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</si>
  <si>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</si>
  <si>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</si>
  <si>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</si>
  <si>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</si>
  <si>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</si>
  <si>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</si>
  <si>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</si>
  <si>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</si>
  <si>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</si>
  <si>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</si>
  <si>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</si>
  <si>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</si>
  <si>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</si>
  <si>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</si>
  <si>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</si>
  <si>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</si>
  <si>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</si>
  <si>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</si>
  <si>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</si>
  <si>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</si>
  <si>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</si>
  <si>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</si>
  <si>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</si>
  <si>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</si>
  <si>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</si>
  <si>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</si>
  <si>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</si>
  <si>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</si>
  <si>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</si>
  <si>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</si>
  <si>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</si>
  <si>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</si>
  <si>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</si>
  <si>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</si>
  <si>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</si>
  <si>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</si>
  <si>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</si>
  <si>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</si>
  <si>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</si>
  <si>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</si>
  <si>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</si>
  <si>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</si>
  <si>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</si>
  <si>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</si>
  <si>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</si>
  <si>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</si>
  <si>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</si>
  <si>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</si>
  <si>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</si>
  <si>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</si>
  <si>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</si>
  <si>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</si>
  <si>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</si>
  <si>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</si>
  <si>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</si>
  <si>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</si>
  <si>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</si>
  <si>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</si>
  <si>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</si>
  <si>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</si>
  <si>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</si>
  <si>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</si>
  <si>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</si>
  <si>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</si>
  <si>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</si>
  <si>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</si>
  <si>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</si>
  <si>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</si>
  <si>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</si>
  <si>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</si>
  <si>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</si>
  <si>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</si>
  <si>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</si>
  <si>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</si>
  <si>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</si>
  <si>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</si>
  <si>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</si>
  <si>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</si>
  <si>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</si>
  <si>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</si>
  <si>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</si>
  <si>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</si>
  <si>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</si>
  <si>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</si>
  <si>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</si>
  <si>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</si>
  <si>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</si>
  <si>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</si>
  <si>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</si>
  <si>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</si>
  <si>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</si>
  <si>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</si>
  <si>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</si>
  <si>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</si>
  <si>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</si>
  <si>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</si>
  <si>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</si>
  <si>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</si>
  <si>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</si>
  <si>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</si>
  <si>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</si>
  <si>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</si>
  <si>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</si>
  <si>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</si>
  <si>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</si>
  <si>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</si>
  <si>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</si>
  <si>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</si>
  <si>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</si>
  <si>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</si>
  <si>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</si>
  <si>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</si>
  <si>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</si>
  <si>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</si>
  <si>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</si>
  <si>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</si>
  <si>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</si>
  <si>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</si>
  <si>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</si>
  <si>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</si>
  <si>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</si>
  <si>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</si>
  <si>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</si>
  <si>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</si>
  <si>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</si>
  <si>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</si>
  <si>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</si>
  <si>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</si>
  <si>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</si>
  <si>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</si>
  <si>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</si>
  <si>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</si>
  <si>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</si>
  <si>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</si>
  <si>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</si>
  <si>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</si>
  <si>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</si>
  <si>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</si>
  <si>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</si>
  <si>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</si>
  <si>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</si>
  <si>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</si>
  <si>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</si>
  <si>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</si>
  <si>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</si>
  <si>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</si>
  <si>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</si>
  <si>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</si>
  <si>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</si>
  <si>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</si>
  <si>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</si>
  <si>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</si>
  <si>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</si>
  <si>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</si>
  <si>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</si>
  <si>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</si>
  <si>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</si>
  <si>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</si>
  <si>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</si>
  <si>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</si>
  <si>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</si>
  <si>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</si>
  <si>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</si>
  <si>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</si>
  <si>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</si>
  <si>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</si>
  <si>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</si>
  <si>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</si>
  <si>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</si>
  <si>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</si>
  <si>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</si>
  <si>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</si>
  <si>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</si>
  <si>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</si>
  <si>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</si>
  <si>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</si>
  <si>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</si>
  <si>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</si>
  <si>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</si>
  <si>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</si>
  <si>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</si>
  <si>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</si>
  <si>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</si>
  <si>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</si>
  <si>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</si>
  <si>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</si>
  <si>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</si>
  <si>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</si>
  <si>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</si>
  <si>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</si>
  <si>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</si>
  <si>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</si>
  <si>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</si>
  <si>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</si>
  <si>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</si>
  <si>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</si>
  <si>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</si>
  <si>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</si>
  <si>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</si>
  <si>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</si>
  <si>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</si>
  <si>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</si>
  <si>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</si>
  <si>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</si>
  <si>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</si>
  <si>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</si>
  <si>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</si>
  <si>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</si>
  <si>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</si>
  <si>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</si>
  <si>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</si>
  <si>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</si>
  <si>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</si>
  <si>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</si>
  <si>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</si>
  <si>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</si>
  <si>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</si>
  <si>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</si>
  <si>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</si>
  <si>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</si>
  <si>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</si>
  <si>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</si>
  <si>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</si>
  <si>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</si>
  <si>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</si>
  <si>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</si>
  <si>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</si>
  <si>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</si>
  <si>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</si>
  <si>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</si>
  <si>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</si>
  <si>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</si>
  <si>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</si>
  <si>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</si>
  <si>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</si>
  <si>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</si>
  <si>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</si>
  <si>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</si>
  <si>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</si>
  <si>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</si>
  <si>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</si>
  <si>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</si>
  <si>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</si>
  <si>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</si>
  <si>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</si>
  <si>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</si>
  <si>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</si>
  <si>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</si>
  <si>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</si>
  <si>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</si>
  <si>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</si>
  <si>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</si>
  <si>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</si>
  <si>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</si>
  <si>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</si>
  <si>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</si>
  <si>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</si>
  <si>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</si>
  <si>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</si>
  <si>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</si>
  <si>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</si>
  <si>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</si>
  <si>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</si>
  <si>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</si>
  <si>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</si>
  <si>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</si>
  <si>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</si>
  <si>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</si>
  <si>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</si>
  <si>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</si>
  <si>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</si>
  <si>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</si>
  <si>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</si>
  <si>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</si>
  <si>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</si>
  <si>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</si>
  <si>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</si>
  <si>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</si>
  <si>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</si>
  <si>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</si>
  <si>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</si>
  <si>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</si>
  <si>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</si>
  <si>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</si>
  <si>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</si>
  <si>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</si>
  <si>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</si>
  <si>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</si>
  <si>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</si>
  <si>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</si>
  <si>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</si>
  <si>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</si>
  <si>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</si>
  <si>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</si>
  <si>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</si>
  <si>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</si>
  <si>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</si>
  <si>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</si>
  <si>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</si>
  <si>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</si>
  <si>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</si>
  <si>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</si>
  <si>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</si>
  <si>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</si>
  <si>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</si>
  <si>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</si>
  <si>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</si>
  <si>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</si>
  <si>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</si>
  <si>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</si>
  <si>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</si>
  <si>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</si>
  <si>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</si>
  <si>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</si>
  <si>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</si>
  <si>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</si>
  <si>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</si>
  <si>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</si>
  <si>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</si>
  <si>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</si>
  <si>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</si>
  <si>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</si>
  <si>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</si>
  <si>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</si>
  <si>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</si>
  <si>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</si>
  <si>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</si>
  <si>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</si>
  <si>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</si>
  <si>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</si>
  <si>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</si>
  <si>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</si>
  <si>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</si>
  <si>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</si>
  <si>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</si>
  <si>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</si>
  <si>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</si>
  <si>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</si>
  <si>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</si>
  <si>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</si>
  <si>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</si>
  <si>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</si>
  <si>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</si>
  <si>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</si>
  <si>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</si>
  <si>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</si>
  <si>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</si>
  <si>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</si>
  <si>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</si>
  <si>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</si>
  <si>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</si>
  <si>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</si>
  <si>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</si>
  <si>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</si>
  <si>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</si>
  <si>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</si>
  <si>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</si>
  <si>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</si>
  <si>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</si>
  <si>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</si>
  <si>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</si>
  <si>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</si>
  <si>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</si>
  <si>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</si>
  <si>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</si>
  <si>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</si>
  <si>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</si>
  <si>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</si>
  <si>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</si>
  <si>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</si>
  <si>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</si>
  <si>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</si>
  <si>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</si>
  <si>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</si>
  <si>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</si>
  <si>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</si>
  <si>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</si>
  <si>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</si>
  <si>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</si>
  <si>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</si>
  <si>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</si>
  <si>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</si>
  <si>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</si>
  <si>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</si>
  <si>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</si>
  <si>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</si>
  <si>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</si>
  <si>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</si>
  <si>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</si>
  <si>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</si>
  <si>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</si>
  <si>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</si>
  <si>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</si>
  <si>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</si>
  <si>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</si>
  <si>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</si>
  <si>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</si>
  <si>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</si>
  <si>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</si>
  <si>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</si>
  <si>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</si>
  <si>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</si>
  <si>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</si>
  <si>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</si>
  <si>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</si>
  <si>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</si>
  <si>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</si>
  <si>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</si>
  <si>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</si>
  <si>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</si>
  <si>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</si>
  <si>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</si>
  <si>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</si>
  <si>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</si>
  <si>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</si>
  <si>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</si>
  <si>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</si>
  <si>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</si>
  <si>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</si>
  <si>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</si>
  <si>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</si>
  <si>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</si>
  <si>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</si>
  <si>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</si>
  <si>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</si>
  <si>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</si>
  <si>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</si>
  <si>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</si>
  <si>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</si>
  <si>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</si>
  <si>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</si>
  <si>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</si>
  <si>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</si>
  <si>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</si>
  <si>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</si>
  <si>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</si>
  <si>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</si>
  <si>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</si>
  <si>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</si>
  <si>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</si>
  <si>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</si>
  <si>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</si>
  <si>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</si>
  <si>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</si>
  <si>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</si>
  <si>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</si>
  <si>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</si>
  <si>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</si>
  <si>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</si>
  <si>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</si>
  <si>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</si>
  <si>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</si>
  <si>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</si>
  <si>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</si>
  <si>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</si>
  <si>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</si>
  <si>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</si>
  <si>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</si>
  <si>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</si>
  <si>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</si>
  <si>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</si>
  <si>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</si>
  <si>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</si>
  <si>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</si>
  <si>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</si>
  <si>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</si>
  <si>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</si>
  <si>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</si>
  <si>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</si>
  <si>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</si>
  <si>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</si>
  <si>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</si>
  <si>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</si>
  <si>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</si>
  <si>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</si>
  <si>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</si>
  <si>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</si>
  <si>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</si>
  <si>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</si>
  <si>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</si>
  <si>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</si>
  <si>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</si>
  <si>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</si>
  <si>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</si>
  <si>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</si>
  <si>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</si>
  <si>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</si>
  <si>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</si>
  <si>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</si>
  <si>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</si>
  <si>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</si>
  <si>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</si>
  <si>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</si>
  <si>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</si>
  <si>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</si>
  <si>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</si>
  <si>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</si>
  <si>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</si>
  <si>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</si>
  <si>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</si>
  <si>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</si>
  <si>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</si>
  <si>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</si>
  <si>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</si>
  <si>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</si>
  <si>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</si>
  <si>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</si>
  <si>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</si>
  <si>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</si>
  <si>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</si>
  <si>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</si>
  <si>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</si>
  <si>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</si>
  <si>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</si>
  <si>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</si>
  <si>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</si>
  <si>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</si>
  <si>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</si>
  <si>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</si>
  <si>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</si>
  <si>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</si>
  <si>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</si>
  <si>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</si>
  <si>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</si>
  <si>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</si>
  <si>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</si>
  <si>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</si>
  <si>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</si>
  <si>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</si>
  <si>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</si>
  <si>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</si>
  <si>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</si>
  <si>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</si>
  <si>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</si>
  <si>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</si>
  <si>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</si>
  <si>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</si>
  <si>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</si>
  <si>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</si>
  <si>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</si>
  <si>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</si>
  <si>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</si>
  <si>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</si>
  <si>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</si>
  <si>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</si>
  <si>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</si>
  <si>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</si>
  <si>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</si>
  <si>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</si>
  <si>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</si>
  <si>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</si>
  <si>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</si>
  <si>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</si>
  <si>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</si>
  <si>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</si>
  <si>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</si>
  <si>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</si>
  <si>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</si>
  <si>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</si>
  <si>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</si>
  <si>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</si>
  <si>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</si>
  <si>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</si>
  <si>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</si>
  <si>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</si>
  <si>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</si>
  <si>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</si>
  <si>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</si>
  <si>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</si>
  <si>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</si>
  <si>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</si>
  <si>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</si>
  <si>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</si>
  <si>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</si>
  <si>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</si>
  <si>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</si>
  <si>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</si>
  <si>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</si>
  <si>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</si>
  <si>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</si>
  <si>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</si>
  <si>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</si>
  <si>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</si>
  <si>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</si>
  <si>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</si>
  <si>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</si>
  <si>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</si>
  <si>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</si>
  <si>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</si>
  <si>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</si>
  <si>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</si>
  <si>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</si>
  <si>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</si>
  <si>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</si>
  <si>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</si>
  <si>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</si>
  <si>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</si>
  <si>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</si>
  <si>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</si>
  <si>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</si>
  <si>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</si>
  <si>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</si>
  <si>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</si>
  <si>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</si>
  <si>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</si>
  <si>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</si>
  <si>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</si>
  <si>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</si>
  <si>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</si>
  <si>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</si>
  <si>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</si>
  <si>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</si>
  <si>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</si>
  <si>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</si>
  <si>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</si>
  <si>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</si>
  <si>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</si>
  <si>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</si>
  <si>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</si>
  <si>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</si>
  <si>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</si>
  <si>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</si>
  <si>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</si>
  <si>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</si>
  <si>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</si>
  <si>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</si>
  <si>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</si>
  <si>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</si>
  <si>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</si>
  <si>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</si>
  <si>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</si>
  <si>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</si>
  <si>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</si>
  <si>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</si>
  <si>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</si>
  <si>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</si>
  <si>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</si>
  <si>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</si>
  <si>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</si>
  <si>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</si>
  <si>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</si>
  <si>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</si>
  <si>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</si>
  <si>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</si>
  <si>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</si>
  <si>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</si>
  <si>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</si>
  <si>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</si>
  <si>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</si>
  <si>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</si>
  <si>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</si>
  <si>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</si>
  <si>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</si>
  <si>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</si>
  <si>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</si>
  <si>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</si>
  <si>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</si>
  <si>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</si>
  <si>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</si>
  <si>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</si>
  <si>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</si>
  <si>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</si>
  <si>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</si>
  <si>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</si>
  <si>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</si>
  <si>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</si>
  <si>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</si>
  <si>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</si>
  <si>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</si>
  <si>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</si>
  <si>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</si>
  <si>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</si>
  <si>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</si>
  <si>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</si>
  <si>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</si>
  <si>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</si>
  <si>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</si>
  <si>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</si>
  <si>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</si>
  <si>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</si>
  <si>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</si>
  <si>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</si>
  <si>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</si>
  <si>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</si>
  <si>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</si>
  <si>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</si>
  <si>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</si>
  <si>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</si>
  <si>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</si>
  <si>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</si>
  <si>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</si>
  <si>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</si>
  <si>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</si>
  <si>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</si>
  <si>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</si>
  <si>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</si>
  <si>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</si>
  <si>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</si>
  <si>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</si>
  <si>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</si>
  <si>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</si>
  <si>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</si>
  <si>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</si>
  <si>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</si>
  <si>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</si>
  <si>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</si>
  <si>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</si>
  <si>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</si>
  <si>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</si>
  <si>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</si>
  <si>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</si>
  <si>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</si>
  <si>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</si>
  <si>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</si>
  <si>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</si>
  <si>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</si>
  <si>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</si>
  <si>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</si>
  <si>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</si>
  <si>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</si>
  <si>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</si>
  <si>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</si>
  <si>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</si>
  <si>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</si>
  <si>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</si>
  <si>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</si>
  <si>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</si>
  <si>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</si>
  <si>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</si>
  <si>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</si>
  <si>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</si>
  <si>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</si>
  <si>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</si>
  <si>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</si>
  <si>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</si>
  <si>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</si>
  <si>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</si>
  <si>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</si>
  <si>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</si>
  <si>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</si>
  <si>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</si>
  <si>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</si>
  <si>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</si>
  <si>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</si>
  <si>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</si>
  <si>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</si>
  <si>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</si>
  <si>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</si>
  <si>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</si>
  <si>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</si>
  <si>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</si>
  <si>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</si>
  <si>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</si>
  <si>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</si>
  <si>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</si>
  <si>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</si>
  <si>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</si>
  <si>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</si>
  <si>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</si>
  <si>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</si>
  <si>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</si>
  <si>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</si>
  <si>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</si>
  <si>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</si>
  <si>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</si>
  <si>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</si>
  <si>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</si>
  <si>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</si>
  <si>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</si>
  <si>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</si>
  <si>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</si>
  <si>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</si>
  <si>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</si>
  <si>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</si>
  <si>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</si>
  <si>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</si>
  <si>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</si>
  <si>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</si>
  <si>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</si>
  <si>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</si>
  <si>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</si>
  <si>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</si>
  <si>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</si>
  <si>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</si>
  <si>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</si>
  <si>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</si>
  <si>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</si>
  <si>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</si>
  <si>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</si>
  <si>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</si>
  <si>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</si>
  <si>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</si>
  <si>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</si>
  <si>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</si>
  <si>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</si>
  <si>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</si>
  <si>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</si>
  <si>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</si>
  <si>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</si>
  <si>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</si>
  <si>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</si>
  <si>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</si>
  <si>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</si>
  <si>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</si>
  <si>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</si>
  <si>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</si>
  <si>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</si>
  <si>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</si>
  <si>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</si>
  <si>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</si>
  <si>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</si>
  <si>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</si>
  <si>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</si>
  <si>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</si>
  <si>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</si>
  <si>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</si>
  <si>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</si>
  <si>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</si>
  <si>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</si>
  <si>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</si>
  <si>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</si>
  <si>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</si>
  <si>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</si>
  <si>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</si>
  <si>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</si>
  <si>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</si>
  <si>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</si>
  <si>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</si>
  <si>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</si>
  <si>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</si>
  <si>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</si>
  <si>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</si>
  <si>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</si>
  <si>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</si>
  <si>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</si>
  <si>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</si>
  <si>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</si>
  <si>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</si>
  <si>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</si>
  <si>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</si>
  <si>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</si>
  <si>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</si>
  <si>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</si>
  <si>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</si>
  <si>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</si>
  <si>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</si>
  <si>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</si>
  <si>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</si>
  <si>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</si>
  <si>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</si>
  <si>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</si>
  <si>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</si>
  <si>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</si>
  <si>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</si>
  <si>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</si>
  <si>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</si>
  <si>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</si>
  <si>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</si>
  <si>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</si>
  <si>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</si>
  <si>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</si>
  <si>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</si>
  <si>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</si>
  <si>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</si>
  <si>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</si>
  <si>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</si>
  <si>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</si>
  <si>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</si>
  <si>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</si>
  <si>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</si>
  <si>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</si>
  <si>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</si>
  <si>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</si>
  <si>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</si>
  <si>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</si>
  <si>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</si>
  <si>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</si>
  <si>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</si>
  <si>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</si>
  <si>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</si>
  <si>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</si>
  <si>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</si>
  <si>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</si>
  <si>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</si>
  <si>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</si>
  <si>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</si>
  <si>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</si>
  <si>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</si>
  <si>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</si>
  <si>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</si>
  <si>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</si>
  <si>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</si>
  <si>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</si>
  <si>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</si>
  <si>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</si>
  <si>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</si>
  <si>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</si>
  <si>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</si>
  <si>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</si>
  <si>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</si>
  <si>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</si>
  <si>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</si>
  <si>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</si>
  <si>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</si>
  <si>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</si>
  <si>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</si>
  <si>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</si>
  <si>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</si>
  <si>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</si>
  <si>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</si>
  <si>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</si>
  <si>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</si>
  <si>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</si>
  <si>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</si>
  <si>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</si>
  <si>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</si>
  <si>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</si>
  <si>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</si>
  <si>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</si>
  <si>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</si>
  <si>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</si>
  <si>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</si>
  <si>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</si>
  <si>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</si>
  <si>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</si>
  <si>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</si>
  <si>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</si>
  <si>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</si>
  <si>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</si>
  <si>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</si>
  <si>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</si>
  <si>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</si>
  <si>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</si>
  <si>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</si>
  <si>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</si>
  <si>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</si>
  <si>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</si>
  <si>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</si>
  <si>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</si>
  <si>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</si>
  <si>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</si>
  <si>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</si>
  <si>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</si>
  <si>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</si>
  <si>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</si>
  <si>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</si>
  <si>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</si>
  <si>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</si>
  <si>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</si>
  <si>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</si>
  <si>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</si>
  <si>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</si>
  <si>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</si>
  <si>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</si>
  <si>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</si>
  <si>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</si>
  <si>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</si>
  <si>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</si>
  <si>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</si>
  <si>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</si>
  <si>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</si>
  <si>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</si>
  <si>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</si>
  <si>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</si>
  <si>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</si>
  <si>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</si>
  <si>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</si>
  <si>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</si>
  <si>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</si>
  <si>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</si>
  <si>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</si>
  <si>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</si>
  <si>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</si>
  <si>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</si>
  <si>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</si>
  <si>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</si>
  <si>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</si>
  <si>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</si>
  <si>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</si>
  <si>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</si>
  <si>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</si>
  <si>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</si>
  <si>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</si>
  <si>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</si>
  <si>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</si>
  <si>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</si>
  <si>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</si>
  <si>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</si>
  <si>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</si>
  <si>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</si>
  <si>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</si>
  <si>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</si>
  <si>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</si>
  <si>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</si>
  <si>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</si>
  <si>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</si>
  <si>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</si>
  <si>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</si>
  <si>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</si>
  <si>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</si>
  <si>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</si>
  <si>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</si>
  <si>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</si>
  <si>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</si>
  <si>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</si>
  <si>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</si>
  <si>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</si>
  <si>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</si>
  <si>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</si>
  <si>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</si>
  <si>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</si>
  <si>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</si>
  <si>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</si>
  <si>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</si>
  <si>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</si>
  <si>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</si>
  <si>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</si>
  <si>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</si>
  <si>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</si>
  <si>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</si>
  <si>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</si>
  <si>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</si>
  <si>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</si>
  <si>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</si>
  <si>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</si>
  <si>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</si>
  <si>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</si>
  <si>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</si>
  <si>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</si>
  <si>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</si>
  <si>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</si>
  <si>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</si>
  <si>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</si>
  <si>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</si>
  <si>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</si>
  <si>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</si>
  <si>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</si>
  <si>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</si>
  <si>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</si>
  <si>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</si>
  <si>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</si>
  <si>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</si>
  <si>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</si>
  <si>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</si>
  <si>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</si>
  <si>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</si>
  <si>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</si>
  <si>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</si>
  <si>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</si>
  <si>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</si>
  <si>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</si>
  <si>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</si>
  <si>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</si>
  <si>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</si>
  <si>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</si>
  <si>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</si>
  <si>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</si>
  <si>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</si>
  <si>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</si>
  <si>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</si>
  <si>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</si>
  <si>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</si>
  <si>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</si>
  <si>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</si>
  <si>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</si>
  <si>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</si>
  <si>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</si>
  <si>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</si>
  <si>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</si>
  <si>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</si>
  <si>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</si>
  <si>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</si>
  <si>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</si>
  <si>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</si>
  <si>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</si>
  <si>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</si>
  <si>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</si>
  <si>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</si>
  <si>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</si>
  <si>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</si>
  <si>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</si>
  <si>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</si>
  <si>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</si>
  <si>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</si>
  <si>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</si>
  <si>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</si>
  <si>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</si>
  <si>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</si>
  <si>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</si>
  <si>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</si>
  <si>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</si>
  <si>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</si>
  <si>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</si>
  <si>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</si>
  <si>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</si>
  <si>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</si>
  <si>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</si>
  <si>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</si>
  <si>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</si>
  <si>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</si>
  <si>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</si>
  <si>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</si>
  <si>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</si>
  <si>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</si>
  <si>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</si>
  <si>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</si>
  <si>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</si>
  <si>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</si>
  <si>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</si>
  <si>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</si>
  <si>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</si>
  <si>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</si>
  <si>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</si>
  <si>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</si>
  <si>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</si>
  <si>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</si>
  <si>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</si>
  <si>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</si>
  <si>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</si>
  <si>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</si>
  <si>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</si>
  <si>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</si>
  <si>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</si>
  <si>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</si>
  <si>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</si>
  <si>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</si>
  <si>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</si>
  <si>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</si>
  <si>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</si>
  <si>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</si>
  <si>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</si>
  <si>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</si>
  <si>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</si>
  <si>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</si>
  <si>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</si>
  <si>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</si>
  <si>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</si>
  <si>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</si>
  <si>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</si>
  <si>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</si>
  <si>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</si>
  <si>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</si>
  <si>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</si>
  <si>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</si>
  <si>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</si>
  <si>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</si>
  <si>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</si>
  <si>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</si>
  <si>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</si>
  <si>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</si>
  <si>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</si>
  <si>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</si>
  <si>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</si>
  <si>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</si>
  <si>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</si>
  <si>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</si>
  <si>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</si>
  <si>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</si>
  <si>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</si>
  <si>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</si>
  <si>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</si>
  <si>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</si>
  <si>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</si>
  <si>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</si>
  <si>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</si>
  <si>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</si>
  <si>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</si>
  <si>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</si>
  <si>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</si>
  <si>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</si>
  <si>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</si>
  <si>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</si>
  <si>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</si>
  <si>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</si>
  <si>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</si>
  <si>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</si>
  <si>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</si>
  <si>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</si>
  <si>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</si>
  <si>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</si>
  <si>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</si>
  <si>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</si>
  <si>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</si>
  <si>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</si>
  <si>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</si>
  <si>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</si>
  <si>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</si>
  <si>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</si>
  <si>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</si>
  <si>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</si>
  <si>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</si>
  <si>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</si>
  <si>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</si>
  <si>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</si>
  <si>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</si>
  <si>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</si>
  <si>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</si>
  <si>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</si>
  <si>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</si>
  <si>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</si>
  <si>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</si>
  <si>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</si>
  <si>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</si>
  <si>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</si>
  <si>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</si>
  <si>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</si>
  <si>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</si>
  <si>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</si>
  <si>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</si>
  <si>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</si>
  <si>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</si>
  <si>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</si>
  <si>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</si>
  <si>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</si>
  <si>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</si>
  <si>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</si>
  <si>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</si>
  <si>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</si>
  <si>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</si>
  <si>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</si>
  <si>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</si>
  <si>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</si>
  <si>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</si>
  <si>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</si>
  <si>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</si>
  <si>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</si>
  <si>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</si>
  <si>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</si>
  <si>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</si>
  <si>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</si>
  <si>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</si>
  <si>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</si>
  <si>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</si>
  <si>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</si>
  <si>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</si>
  <si>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</si>
  <si>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</si>
  <si>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</si>
  <si>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</si>
  <si>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</si>
  <si>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</si>
  <si>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</si>
  <si>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</si>
  <si>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</si>
  <si>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</si>
  <si>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</si>
  <si>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</si>
  <si>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</si>
  <si>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</si>
  <si>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</si>
  <si>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</si>
  <si>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</si>
  <si>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</si>
  <si>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</si>
  <si>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</si>
  <si>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</si>
  <si>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</si>
  <si>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</si>
  <si>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</si>
  <si>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</si>
  <si>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</si>
  <si>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</si>
  <si>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</si>
  <si>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</si>
  <si>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</si>
  <si>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</si>
  <si>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</si>
  <si>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</si>
  <si>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</si>
  <si>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</si>
  <si>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</si>
  <si>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</si>
  <si>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</si>
  <si>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</si>
  <si>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</si>
  <si>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</si>
  <si>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</si>
  <si>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</si>
  <si>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</si>
  <si>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</si>
  <si>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</si>
  <si>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</si>
  <si>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</si>
  <si>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</si>
  <si>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</si>
  <si>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</si>
  <si>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</si>
  <si>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</si>
  <si>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</si>
  <si>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</si>
  <si>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</si>
  <si>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</si>
  <si>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</si>
  <si>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</si>
  <si>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</si>
  <si>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</si>
  <si>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</si>
  <si>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</si>
  <si>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</si>
  <si>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</si>
  <si>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</si>
  <si>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</si>
  <si>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</si>
  <si>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</si>
  <si>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</si>
  <si>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</si>
  <si>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</si>
  <si>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</si>
  <si>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</si>
  <si>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</si>
  <si>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</si>
  <si>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</si>
  <si>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</si>
  <si>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</si>
  <si>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</si>
  <si>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</si>
  <si>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</si>
  <si>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</si>
  <si>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</si>
  <si>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</si>
  <si>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</si>
  <si>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</si>
  <si>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</si>
  <si>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</si>
  <si>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</si>
  <si>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</si>
  <si>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</si>
  <si>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</si>
  <si>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</si>
  <si>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</si>
  <si>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</si>
  <si>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</si>
  <si>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</si>
  <si>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</si>
  <si>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</si>
  <si>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</si>
  <si>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</si>
  <si>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</si>
  <si>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</si>
  <si>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</si>
  <si>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</si>
  <si>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</si>
  <si>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</si>
  <si>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</si>
  <si>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</si>
  <si>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</si>
  <si>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</si>
  <si>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</si>
  <si>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</si>
  <si>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</si>
  <si>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</si>
  <si>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</si>
  <si>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</si>
  <si>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</si>
  <si>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</si>
  <si>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</si>
  <si>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</si>
  <si>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</si>
  <si>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</si>
  <si>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</si>
  <si>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</si>
  <si>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</si>
  <si>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</si>
  <si>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</si>
  <si>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</si>
  <si>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</si>
  <si>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</si>
  <si>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</si>
  <si>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</si>
  <si>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</si>
  <si>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</si>
  <si>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</si>
  <si>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</si>
  <si>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</si>
  <si>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</si>
  <si>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</si>
  <si>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</si>
  <si>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</si>
  <si>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</si>
  <si>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</si>
  <si>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</si>
  <si>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</si>
  <si>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</si>
  <si>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</si>
  <si>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</si>
  <si>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</si>
  <si>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</si>
  <si>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</si>
  <si>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</si>
  <si>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</si>
  <si>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</si>
  <si>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</si>
  <si>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</si>
  <si>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</si>
  <si>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</si>
  <si>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</si>
  <si>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</si>
  <si>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</si>
  <si>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</si>
  <si>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</si>
  <si>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</si>
  <si>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</si>
  <si>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</si>
  <si>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</si>
  <si>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</si>
  <si>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</si>
  <si>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</si>
  <si>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</si>
  <si>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</si>
  <si>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</si>
  <si>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</si>
  <si>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</si>
  <si>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</si>
  <si>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</si>
  <si>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</si>
  <si>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</si>
  <si>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</si>
  <si>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</si>
  <si>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</si>
  <si>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</si>
  <si>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</si>
  <si>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</si>
  <si>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</si>
  <si>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</si>
  <si>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</si>
  <si>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</si>
  <si>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</si>
  <si>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</si>
  <si>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</si>
  <si>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</si>
  <si>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</si>
  <si>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</si>
  <si>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</si>
  <si>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</si>
  <si>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</si>
  <si>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</si>
  <si>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</si>
  <si>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</si>
  <si>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</si>
  <si>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</si>
  <si>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</si>
  <si>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</si>
  <si>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</si>
  <si>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</si>
  <si>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</si>
  <si>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</si>
  <si>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</si>
  <si>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</si>
  <si>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</si>
  <si>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</si>
  <si>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</si>
  <si>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</si>
  <si>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</si>
  <si>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</si>
  <si>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</si>
  <si>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</si>
  <si>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</si>
  <si>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</si>
  <si>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</si>
  <si>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</si>
  <si>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</si>
  <si>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</si>
  <si>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</si>
  <si>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</si>
  <si>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</si>
  <si>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</si>
  <si>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</si>
  <si>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</si>
  <si>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</si>
  <si>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</si>
  <si>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</si>
  <si>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</si>
  <si>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</si>
  <si>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</si>
  <si>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</si>
  <si>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</si>
  <si>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</si>
  <si>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</si>
  <si>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</si>
  <si>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</si>
  <si>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</si>
  <si>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</si>
  <si>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</si>
  <si>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</si>
  <si>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</si>
  <si>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</si>
  <si>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</si>
  <si>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</si>
  <si>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</si>
  <si>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</si>
  <si>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</si>
  <si>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</si>
  <si>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</si>
  <si>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</si>
  <si>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</si>
  <si>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</si>
  <si>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</si>
  <si>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</si>
  <si>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</si>
  <si>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</si>
  <si>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</si>
  <si>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</si>
  <si>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</si>
  <si>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</si>
  <si>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</si>
  <si>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</si>
  <si>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</si>
  <si>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</si>
  <si>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</si>
  <si>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</si>
  <si>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</si>
  <si>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</si>
  <si>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</si>
  <si>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</si>
  <si>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</si>
  <si>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</si>
  <si>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</si>
  <si>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</si>
  <si>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</si>
  <si>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</si>
  <si>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</si>
  <si>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</si>
  <si>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</si>
  <si>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</si>
  <si>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</si>
  <si>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</si>
  <si>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</si>
  <si>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</si>
  <si>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</si>
  <si>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</si>
  <si>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</si>
  <si>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</si>
  <si>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</si>
  <si>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</si>
  <si>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</si>
  <si>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</si>
  <si>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</si>
  <si>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</si>
  <si>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</si>
  <si>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</si>
  <si>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</si>
  <si>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</si>
  <si>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</si>
  <si>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</si>
  <si>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</si>
  <si>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</si>
  <si>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</si>
  <si>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</si>
  <si>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</si>
  <si>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</si>
  <si>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</si>
  <si>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</si>
  <si>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</si>
  <si>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</si>
  <si>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</si>
  <si>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</si>
  <si>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</si>
  <si>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</si>
  <si>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</si>
  <si>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</si>
  <si>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</si>
  <si>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</si>
  <si>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</si>
  <si>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</si>
  <si>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</si>
  <si>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</si>
  <si>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</si>
  <si>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</si>
  <si>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</si>
  <si>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</si>
  <si>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</si>
  <si>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</si>
  <si>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</si>
  <si>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</si>
  <si>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</si>
  <si>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</si>
  <si>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</si>
  <si>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</si>
  <si>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</si>
  <si>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</si>
  <si>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</si>
  <si>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</si>
  <si>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</si>
  <si>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</si>
  <si>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</si>
  <si>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</si>
  <si>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</si>
  <si>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</si>
  <si>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</si>
  <si>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</si>
  <si>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</si>
  <si>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</si>
  <si>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</si>
  <si>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</si>
  <si>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</si>
  <si>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</si>
  <si>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</si>
  <si>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</si>
  <si>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</si>
  <si>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</si>
  <si>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</si>
  <si>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</si>
  <si>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</si>
  <si>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</si>
  <si>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</si>
  <si>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</si>
  <si>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</si>
  <si>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</si>
  <si>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</si>
  <si>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</si>
  <si>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</si>
  <si>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</si>
  <si>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</si>
  <si>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</si>
  <si>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</si>
  <si>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</si>
  <si>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</si>
  <si>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</si>
  <si>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</si>
  <si>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</si>
  <si>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</si>
  <si>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</si>
  <si>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</si>
  <si>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</si>
  <si>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</si>
  <si>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</si>
  <si>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</si>
  <si>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</si>
  <si>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</si>
  <si>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</si>
  <si>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</si>
  <si>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</si>
  <si>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</si>
  <si>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</si>
  <si>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</si>
  <si>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</si>
  <si>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</si>
  <si>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</si>
  <si>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</si>
  <si>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</si>
  <si>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</si>
  <si>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</si>
  <si>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</si>
  <si>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</si>
  <si>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</si>
  <si>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</si>
  <si>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</si>
  <si>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</si>
  <si>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</si>
  <si>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</si>
  <si>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</si>
  <si>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</si>
  <si>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</si>
  <si>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</si>
  <si>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</si>
  <si>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</si>
  <si>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</si>
  <si>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</si>
  <si>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</si>
  <si>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</si>
  <si>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</si>
  <si>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</si>
  <si>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</si>
  <si>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</si>
  <si>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</si>
  <si>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</si>
  <si>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</si>
  <si>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</si>
  <si>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</si>
  <si>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</si>
  <si>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</si>
  <si>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</si>
  <si>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</si>
  <si>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</si>
  <si>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</si>
  <si>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</si>
  <si>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</si>
  <si>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</si>
  <si>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</si>
  <si>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</si>
  <si>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</si>
  <si>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</si>
  <si>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</si>
  <si>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</si>
  <si>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</si>
  <si>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</si>
  <si>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</si>
  <si>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</si>
  <si>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</si>
  <si>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</si>
  <si>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</si>
  <si>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</si>
  <si>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</si>
  <si>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</si>
  <si>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</si>
  <si>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</si>
  <si>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</si>
  <si>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</si>
  <si>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</si>
  <si>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</si>
  <si>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</si>
  <si>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</si>
  <si>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</si>
  <si>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</si>
  <si>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</si>
  <si>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</si>
  <si>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</si>
  <si>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</si>
  <si>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</si>
  <si>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</si>
  <si>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</si>
  <si>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</si>
  <si>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</si>
  <si>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</si>
  <si>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</si>
  <si>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</si>
  <si>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</si>
  <si>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</si>
  <si>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</si>
  <si>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</si>
  <si>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</si>
  <si>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</si>
  <si>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</si>
  <si>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</si>
  <si>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</si>
  <si>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</si>
  <si>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</si>
  <si>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</si>
  <si>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</si>
  <si>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</si>
  <si>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</si>
  <si>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</si>
  <si>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</si>
  <si>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</si>
  <si>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</si>
  <si>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</si>
  <si>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</si>
  <si>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</si>
  <si>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</si>
  <si>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</si>
  <si>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</si>
  <si>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</si>
  <si>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</si>
  <si>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</si>
  <si>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</si>
  <si>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</si>
  <si>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</si>
  <si>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</si>
  <si>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</si>
  <si>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</si>
  <si>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</si>
  <si>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</si>
  <si>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</si>
  <si>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</si>
  <si>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</si>
  <si>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</si>
  <si>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</si>
  <si>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</si>
  <si>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</si>
  <si>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</si>
  <si>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</si>
  <si>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</si>
  <si>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</si>
  <si>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</si>
  <si>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</si>
  <si>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</si>
  <si>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</si>
  <si>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</si>
  <si>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</si>
  <si>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</si>
  <si>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</si>
  <si>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</si>
  <si>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</si>
  <si>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</si>
  <si>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</si>
  <si>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</si>
  <si>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</si>
  <si>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</si>
  <si>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</si>
  <si>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</si>
  <si>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</si>
  <si>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</si>
  <si>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</si>
  <si>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</si>
  <si>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</si>
  <si>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</si>
  <si>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</si>
  <si>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</si>
  <si>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</si>
  <si>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</si>
  <si>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</si>
  <si>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</si>
  <si>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</si>
  <si>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</si>
  <si>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</si>
  <si>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</si>
  <si>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</si>
  <si>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</si>
  <si>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</si>
  <si>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</si>
  <si>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</si>
  <si>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</si>
  <si>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</si>
  <si>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</si>
  <si>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</si>
  <si>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</si>
  <si>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</si>
  <si>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</si>
  <si>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</si>
  <si>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</si>
  <si>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</si>
  <si>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</si>
  <si>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</si>
  <si>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</si>
  <si>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</si>
  <si>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</si>
  <si>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</si>
  <si>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</si>
  <si>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</si>
  <si>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</si>
  <si>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</si>
  <si>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</si>
  <si>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</si>
  <si>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</si>
  <si>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</si>
  <si>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</si>
  <si>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</si>
  <si>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</si>
  <si>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</si>
  <si>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</si>
  <si>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</si>
  <si>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</si>
  <si>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</si>
  <si>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</si>
  <si>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</si>
  <si>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</si>
  <si>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</si>
  <si>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</si>
  <si>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</si>
  <si>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</si>
  <si>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</si>
  <si>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</si>
  <si>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</si>
  <si>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</si>
  <si>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</si>
  <si>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</si>
  <si>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</si>
  <si>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</si>
  <si>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</si>
  <si>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</si>
  <si>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</si>
  <si>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</si>
  <si>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</si>
  <si>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</si>
  <si>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</si>
  <si>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</si>
  <si>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</si>
  <si>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</si>
  <si>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</si>
  <si>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</si>
  <si>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</si>
  <si>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</si>
  <si>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</si>
  <si>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</si>
  <si>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</si>
  <si>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</si>
  <si>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</si>
  <si>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</si>
  <si>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</si>
  <si>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</si>
  <si>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</si>
  <si>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</si>
  <si>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</si>
  <si>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</si>
  <si>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</si>
  <si>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</si>
  <si>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</si>
  <si>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</si>
  <si>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</si>
  <si>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</si>
  <si>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</si>
  <si>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</si>
  <si>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</si>
  <si>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</si>
  <si>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</si>
  <si>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</si>
  <si>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</si>
  <si>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</si>
  <si>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</si>
  <si>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</si>
  <si>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</si>
  <si>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</si>
  <si>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</si>
  <si>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</si>
  <si>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</si>
  <si>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</si>
  <si>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</si>
  <si>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</si>
  <si>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</si>
  <si>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</si>
  <si>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</si>
  <si>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</si>
  <si>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</si>
  <si>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</si>
  <si>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</si>
  <si>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</si>
  <si>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</si>
  <si>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</si>
  <si>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</si>
  <si>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</si>
  <si>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</si>
  <si>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</si>
  <si>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</si>
  <si>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</si>
  <si>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</si>
  <si>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</si>
  <si>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</si>
  <si>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</si>
  <si>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</si>
  <si>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</si>
  <si>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</si>
  <si>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</si>
  <si>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</si>
  <si>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</si>
  <si>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</si>
  <si>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</si>
  <si>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</si>
  <si>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</si>
  <si>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</si>
  <si>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</si>
  <si>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</si>
  <si>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</si>
  <si>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</si>
  <si>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</si>
  <si>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</si>
  <si>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</si>
  <si>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</si>
  <si>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</si>
  <si>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</si>
  <si>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</si>
  <si>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</si>
  <si>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</si>
  <si>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</si>
  <si>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</si>
  <si>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</si>
  <si>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</si>
  <si>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</si>
  <si>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</si>
  <si>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</si>
  <si>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</si>
  <si>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</si>
  <si>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</si>
  <si>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</si>
  <si>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</si>
  <si>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</si>
  <si>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</si>
  <si>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</si>
  <si>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</si>
  <si>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</si>
  <si>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</si>
  <si>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</si>
  <si>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</si>
  <si>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</si>
  <si>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</si>
  <si>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</si>
  <si>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</si>
  <si>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</si>
  <si>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</si>
  <si>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</si>
  <si>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</si>
  <si>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</si>
  <si>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</si>
  <si>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</si>
  <si>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</si>
  <si>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</si>
  <si>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</si>
  <si>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</si>
  <si>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</si>
  <si>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</si>
  <si>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</si>
  <si>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</si>
  <si>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</si>
  <si>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</si>
  <si>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</si>
  <si>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</si>
  <si>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</si>
  <si>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</si>
  <si>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</si>
  <si>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</si>
  <si>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</si>
  <si>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</si>
  <si>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</si>
  <si>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</si>
  <si>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</si>
  <si>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</si>
  <si>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</si>
  <si>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</si>
  <si>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</si>
  <si>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</si>
  <si>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</si>
  <si>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</si>
  <si>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</si>
  <si>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</si>
  <si>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</si>
  <si>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</si>
  <si>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</si>
  <si>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</si>
  <si>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</si>
  <si>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</si>
  <si>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</si>
  <si>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</si>
  <si>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</si>
  <si>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</si>
  <si>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</si>
  <si>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</si>
  <si>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</si>
  <si>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</si>
  <si>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</si>
  <si>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</si>
  <si>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</si>
  <si>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</si>
  <si>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</si>
  <si>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</si>
  <si>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</si>
  <si>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</si>
  <si>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</si>
  <si>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</si>
  <si>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</si>
  <si>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</si>
  <si>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</si>
  <si>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</si>
  <si>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</si>
  <si>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</si>
  <si>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</si>
  <si>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</si>
  <si>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</si>
  <si>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</si>
  <si>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</si>
  <si>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</si>
  <si>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</si>
  <si>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</si>
  <si>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</si>
  <si>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</si>
  <si>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</si>
  <si>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</si>
  <si>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</si>
  <si>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</si>
  <si>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</si>
  <si>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</si>
  <si>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</si>
  <si>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</si>
  <si>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</si>
  <si>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</si>
  <si>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</si>
  <si>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</si>
  <si>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</si>
  <si>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</si>
  <si>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</si>
  <si>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</si>
  <si>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</si>
  <si>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</si>
  <si>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</si>
  <si>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</si>
  <si>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</si>
  <si>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</si>
  <si>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</si>
  <si>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</si>
  <si>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</si>
  <si>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</si>
  <si>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</si>
  <si>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</si>
  <si>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</si>
  <si>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</si>
  <si>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</si>
  <si>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</si>
  <si>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</si>
  <si>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</si>
  <si>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</si>
  <si>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</si>
  <si>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</si>
  <si>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</si>
  <si>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</si>
  <si>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</si>
  <si>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</si>
  <si>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</si>
  <si>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</si>
  <si>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</si>
  <si>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</si>
  <si>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</si>
  <si>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</si>
  <si>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</si>
  <si>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</si>
  <si>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</si>
  <si>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</si>
  <si>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</si>
  <si>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</si>
  <si>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</si>
  <si>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</si>
  <si>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</si>
  <si>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</si>
  <si>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</si>
  <si>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</si>
  <si>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</si>
  <si>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</si>
  <si>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</si>
  <si>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</si>
  <si>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</si>
  <si>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</si>
  <si>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</si>
  <si>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</si>
  <si>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</si>
  <si>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</si>
  <si>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</si>
  <si>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</si>
  <si>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</si>
  <si>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</si>
  <si>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</si>
  <si>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</si>
  <si>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</si>
  <si>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</si>
  <si>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</si>
  <si>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</si>
  <si>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</si>
  <si>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</si>
  <si>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</si>
  <si>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</si>
  <si>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</si>
  <si>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</si>
  <si>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</si>
  <si>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</si>
  <si>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</si>
  <si>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</si>
  <si>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</si>
  <si>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</si>
  <si>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</si>
  <si>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</si>
  <si>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</si>
  <si>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</si>
  <si>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</si>
  <si>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</si>
  <si>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</si>
  <si>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</si>
  <si>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</si>
  <si>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</si>
  <si>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</si>
  <si>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</si>
  <si>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</si>
  <si>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</si>
  <si>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</si>
  <si>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</si>
  <si>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</si>
  <si>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</si>
  <si>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</si>
  <si>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</si>
  <si>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</si>
  <si>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</si>
  <si>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</si>
  <si>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</si>
  <si>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</si>
  <si>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</si>
  <si>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</si>
  <si>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</si>
  <si>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</si>
  <si>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</si>
  <si>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</si>
  <si>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</si>
  <si>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</si>
  <si>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</si>
  <si>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</si>
  <si>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</si>
  <si>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</si>
  <si>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</si>
  <si>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</si>
  <si>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</si>
  <si>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</si>
  <si>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</si>
  <si>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</si>
  <si>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</si>
  <si>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</si>
  <si>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</si>
  <si>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</si>
  <si>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</si>
  <si>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</si>
  <si>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</si>
  <si>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</si>
  <si>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</si>
  <si>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</si>
  <si>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</si>
  <si>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</si>
  <si>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</si>
  <si>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</si>
  <si>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</si>
  <si>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</si>
  <si>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</si>
  <si>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</si>
  <si>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</si>
  <si>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</si>
  <si>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</si>
  <si>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</si>
  <si>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</si>
  <si>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</si>
  <si>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</si>
  <si>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</si>
  <si>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</si>
  <si>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</si>
  <si>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</si>
  <si>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</si>
  <si>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</si>
  <si>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</si>
  <si>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</si>
  <si>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</si>
  <si>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</si>
  <si>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</si>
  <si>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</si>
  <si>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</si>
  <si>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</si>
  <si>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</si>
  <si>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</si>
  <si>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</si>
  <si>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</si>
  <si>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</si>
  <si>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</si>
  <si>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</si>
  <si>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</si>
  <si>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</si>
  <si>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</si>
  <si>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</si>
  <si>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</si>
  <si>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</si>
  <si>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</si>
  <si>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</si>
  <si>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</si>
  <si>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</si>
  <si>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</si>
  <si>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</si>
  <si>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</si>
  <si>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</si>
  <si>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</si>
  <si>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</si>
  <si>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</si>
  <si>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</si>
  <si>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</si>
  <si>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</si>
  <si>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</si>
  <si>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</si>
  <si>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</si>
  <si>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</si>
  <si>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</si>
  <si>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</si>
  <si>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</si>
  <si>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</si>
  <si>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</si>
  <si>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</si>
  <si>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</si>
  <si>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</si>
  <si>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</si>
  <si>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</si>
  <si>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</si>
  <si>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</si>
  <si>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</si>
  <si>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</si>
  <si>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</si>
  <si>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</si>
  <si>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</si>
  <si>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</si>
  <si>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</si>
  <si>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</si>
  <si>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</si>
  <si>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</si>
  <si>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</si>
  <si>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</si>
  <si>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</si>
  <si>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</si>
  <si>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</si>
  <si>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</si>
  <si>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</si>
  <si>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</si>
  <si>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</si>
  <si>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</si>
  <si>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</si>
  <si>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</si>
  <si>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</si>
  <si>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</si>
  <si>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</si>
  <si>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</si>
  <si>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</si>
  <si>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</si>
  <si>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</si>
  <si>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</si>
  <si>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</si>
  <si>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</si>
  <si>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</si>
  <si>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</si>
  <si>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</si>
  <si>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</si>
  <si>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</si>
  <si>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</si>
  <si>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</si>
  <si>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</si>
  <si>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</si>
  <si>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</si>
  <si>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</si>
  <si>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</si>
  <si>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</si>
  <si>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</si>
  <si>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</si>
  <si>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</si>
  <si>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</si>
  <si>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</si>
  <si>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</si>
  <si>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</si>
  <si>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</si>
  <si>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</si>
  <si>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</si>
  <si>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</si>
  <si>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</si>
  <si>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</si>
  <si>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</si>
  <si>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</si>
  <si>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</si>
  <si>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</si>
  <si>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</si>
  <si>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</si>
  <si>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</si>
  <si>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</si>
  <si>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</si>
  <si>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</si>
  <si>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</si>
  <si>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</si>
  <si>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</si>
  <si>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</si>
  <si>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</si>
  <si>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</si>
  <si>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</si>
  <si>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</si>
  <si>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</si>
  <si>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</si>
  <si>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</si>
  <si>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</si>
  <si>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</si>
  <si>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</si>
  <si>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</si>
  <si>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</si>
  <si>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</si>
  <si>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</si>
  <si>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</si>
  <si>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</si>
  <si>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</si>
  <si>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</si>
  <si>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</si>
  <si>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</si>
  <si>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</si>
  <si>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</si>
  <si>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</si>
  <si>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</si>
  <si>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</si>
  <si>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</si>
  <si>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</si>
  <si>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</si>
  <si>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</si>
  <si>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</si>
  <si>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</si>
  <si>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</si>
  <si>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</si>
  <si>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</si>
  <si>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</si>
  <si>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</si>
  <si>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</si>
  <si>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</si>
  <si>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</si>
  <si>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</si>
  <si>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</si>
  <si>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</si>
  <si>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</si>
  <si>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</si>
  <si>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</si>
  <si>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</si>
  <si>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</si>
  <si>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</si>
  <si>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</si>
  <si>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</si>
  <si>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</si>
  <si>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</si>
  <si>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</si>
  <si>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</si>
  <si>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</si>
  <si>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</si>
  <si>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</si>
  <si>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</si>
  <si>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</si>
  <si>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</si>
  <si>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</si>
  <si>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</si>
  <si>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</si>
  <si>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</si>
  <si>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</si>
  <si>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</si>
  <si>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</si>
  <si>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</si>
  <si>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</si>
  <si>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</si>
  <si>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</si>
  <si>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</si>
  <si>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</si>
  <si>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</si>
  <si>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</si>
  <si>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</si>
  <si>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</si>
  <si>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</si>
  <si>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</si>
  <si>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</si>
  <si>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</si>
  <si>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</si>
  <si>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</si>
  <si>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</si>
  <si>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</si>
  <si>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</si>
  <si>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</si>
  <si>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</si>
  <si>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</si>
  <si>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</si>
  <si>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</si>
  <si>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</si>
  <si>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</si>
  <si>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</si>
  <si>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</si>
  <si>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</si>
  <si>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</si>
  <si>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</si>
  <si>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</si>
  <si>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</si>
  <si>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</si>
  <si>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</si>
  <si>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</si>
  <si>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</si>
  <si>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</si>
  <si>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</si>
  <si>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</si>
  <si>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</si>
  <si>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</si>
  <si>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</si>
  <si>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</si>
  <si>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</si>
  <si>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</si>
  <si>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</si>
  <si>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</si>
  <si>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</si>
  <si>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</si>
  <si>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</si>
  <si>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</si>
  <si>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</si>
  <si>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</si>
  <si>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</si>
  <si>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</si>
  <si>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</si>
  <si>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</si>
  <si>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</si>
  <si>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</si>
  <si>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</si>
  <si>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</si>
  <si>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</si>
  <si>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</si>
  <si>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</si>
  <si>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</si>
  <si>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</si>
  <si>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</si>
  <si>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</si>
  <si>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</si>
  <si>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</si>
  <si>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</si>
  <si>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</si>
  <si>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</si>
  <si>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</si>
  <si>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</si>
  <si>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</si>
  <si>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</si>
  <si>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</si>
  <si>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</si>
  <si>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</si>
  <si>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</si>
  <si>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</si>
  <si>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</si>
  <si>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</si>
  <si>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</si>
  <si>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</si>
  <si>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</si>
  <si>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</si>
  <si>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</si>
  <si>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</si>
  <si>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</si>
  <si>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</si>
  <si>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</si>
  <si>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</si>
  <si>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</si>
  <si>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</si>
  <si>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</si>
  <si>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</si>
  <si>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</si>
  <si>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</si>
  <si>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</si>
  <si>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</si>
  <si>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</si>
  <si>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</si>
  <si>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</si>
  <si>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</si>
  <si>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</si>
  <si>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</si>
  <si>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</si>
  <si>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</si>
  <si>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</si>
  <si>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</si>
  <si>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</si>
  <si>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</si>
  <si>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</si>
  <si>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</si>
  <si>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</si>
  <si>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</si>
  <si>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</si>
  <si>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</si>
  <si>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</si>
  <si>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</si>
  <si>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</si>
  <si>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</si>
  <si>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</si>
  <si>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</si>
  <si>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</si>
  <si>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</si>
  <si>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</si>
  <si>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</si>
  <si>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</si>
  <si>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</si>
  <si>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</si>
  <si>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</si>
  <si>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</si>
  <si>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</si>
  <si>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</si>
  <si>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</si>
  <si>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</si>
  <si>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</si>
  <si>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</si>
  <si>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</si>
  <si>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</si>
  <si>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</si>
  <si>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</si>
  <si>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</si>
  <si>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</si>
  <si>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</si>
  <si>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</si>
  <si>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</si>
  <si>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</si>
  <si>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</si>
  <si>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</si>
  <si>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</si>
  <si>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</si>
  <si>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</si>
  <si>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</si>
  <si>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</si>
  <si>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</si>
  <si>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</si>
  <si>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</si>
  <si>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</si>
  <si>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</si>
  <si>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</si>
  <si>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</si>
  <si>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</si>
  <si>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</si>
  <si>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</si>
  <si>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</si>
  <si>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</si>
  <si>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</si>
  <si>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</si>
  <si>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</si>
  <si>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</si>
  <si>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</si>
  <si>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</si>
  <si>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</si>
  <si>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</si>
  <si>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</si>
  <si>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</si>
  <si>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</si>
  <si>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</si>
  <si>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</si>
  <si>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</si>
  <si>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</si>
  <si>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</si>
  <si>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</si>
  <si>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</si>
  <si>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</si>
  <si>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</si>
  <si>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</si>
  <si>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</si>
  <si>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</si>
  <si>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</si>
  <si>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</si>
  <si>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</si>
  <si>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</si>
  <si>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</si>
  <si>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</si>
  <si>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</si>
  <si>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</si>
  <si>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</si>
  <si>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</si>
  <si>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</si>
  <si>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</si>
  <si>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</si>
  <si>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</si>
  <si>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</si>
  <si>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</si>
  <si>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</si>
  <si>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</si>
  <si>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</si>
  <si>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</si>
  <si>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</si>
  <si>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</si>
  <si>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</si>
  <si>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</si>
  <si>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</si>
  <si>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</si>
  <si>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</si>
  <si>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</si>
  <si>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</si>
  <si>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</si>
  <si>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</si>
  <si>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</si>
  <si>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</si>
  <si>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</si>
  <si>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</si>
  <si>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</si>
  <si>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</si>
  <si>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</si>
  <si>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</si>
  <si>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</si>
  <si>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</si>
  <si>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</si>
  <si>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</si>
  <si>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</si>
  <si>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</si>
  <si>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</si>
  <si>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</si>
  <si>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</si>
  <si>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</si>
  <si>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</si>
  <si>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</si>
  <si>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</si>
  <si>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</si>
  <si>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</si>
  <si>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</si>
  <si>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</si>
  <si>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</si>
  <si>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</si>
  <si>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</si>
  <si>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</si>
  <si>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</si>
  <si>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</si>
  <si>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</si>
  <si>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</si>
  <si>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</si>
  <si>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</si>
  <si>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</si>
  <si>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</si>
  <si>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</si>
  <si>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</si>
  <si>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</si>
  <si>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</si>
  <si>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</si>
  <si>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</si>
  <si>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</si>
  <si>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</si>
  <si>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</si>
  <si>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</si>
  <si>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</si>
  <si>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</si>
  <si>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</si>
  <si>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</si>
  <si>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</si>
  <si>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</si>
  <si>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</si>
  <si>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</si>
  <si>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</si>
  <si>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</si>
  <si>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</si>
  <si>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</si>
  <si>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</si>
  <si>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</si>
  <si>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</si>
  <si>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</si>
  <si>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</si>
  <si>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</si>
  <si>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</si>
  <si>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</si>
  <si>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</si>
  <si>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</si>
  <si>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</si>
  <si>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</si>
  <si>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</si>
  <si>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</si>
  <si>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</si>
  <si>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</si>
  <si>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</si>
  <si>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</si>
  <si>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</si>
  <si>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</si>
  <si>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</si>
  <si>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</si>
  <si>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</si>
  <si>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</si>
  <si>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</si>
  <si>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</si>
  <si>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</si>
  <si>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</si>
  <si>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</si>
  <si>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</si>
  <si>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</si>
  <si>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</si>
  <si>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</si>
  <si>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</si>
  <si>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</si>
  <si>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</si>
  <si>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</si>
  <si>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</si>
  <si>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</si>
  <si>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</si>
  <si>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</si>
  <si>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</si>
  <si>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</si>
  <si>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</si>
  <si>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</si>
  <si>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</si>
  <si>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</si>
  <si>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</si>
  <si>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</si>
  <si>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</si>
  <si>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</si>
  <si>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</si>
  <si>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</si>
  <si>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</si>
  <si>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</si>
  <si>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</si>
  <si>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</si>
  <si>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</si>
  <si>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</si>
  <si>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</si>
  <si>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</si>
  <si>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</si>
  <si>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</si>
  <si>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</si>
  <si>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</si>
  <si>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</si>
  <si>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</si>
  <si>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</si>
  <si>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</si>
  <si>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</si>
  <si>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</si>
  <si>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</si>
  <si>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</si>
  <si>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</si>
  <si>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</si>
  <si>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</si>
  <si>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</si>
  <si>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</si>
  <si>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</si>
  <si>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</si>
  <si>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</si>
  <si>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</si>
  <si>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</si>
  <si>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</si>
  <si>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</si>
  <si>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</si>
  <si>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</si>
  <si>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</si>
  <si>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</si>
  <si>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</si>
  <si>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</si>
  <si>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</si>
  <si>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</si>
  <si>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</si>
  <si>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</si>
  <si>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</si>
  <si>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</si>
  <si>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</si>
  <si>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</si>
  <si>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</si>
  <si>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</si>
  <si>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</si>
  <si>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</si>
  <si>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</si>
  <si>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</si>
  <si>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</si>
  <si>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</si>
  <si>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</si>
  <si>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</si>
  <si>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</si>
  <si>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</si>
  <si>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</si>
  <si>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</si>
  <si>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</si>
  <si>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</si>
  <si>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</si>
  <si>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</si>
  <si>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</si>
  <si>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</si>
  <si>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</si>
  <si>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</si>
  <si>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</si>
  <si>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</si>
  <si>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</si>
  <si>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</si>
  <si>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</si>
  <si>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</si>
  <si>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</si>
  <si>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</si>
  <si>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</si>
  <si>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</si>
  <si>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</si>
  <si>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</si>
  <si>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</si>
  <si>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</si>
  <si>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</si>
  <si>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</si>
  <si>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</si>
  <si>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</si>
  <si>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</si>
  <si>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</si>
  <si>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</si>
  <si>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</si>
  <si>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</si>
  <si>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</si>
  <si>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</si>
  <si>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</si>
  <si>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</si>
  <si>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</si>
  <si>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</si>
  <si>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</si>
  <si>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</si>
  <si>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</si>
  <si>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</si>
  <si>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</si>
  <si>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</si>
  <si>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</si>
  <si>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</si>
  <si>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</si>
  <si>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</si>
  <si>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</si>
  <si>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</si>
  <si>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</si>
  <si>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</si>
  <si>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</si>
  <si>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</si>
  <si>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</si>
  <si>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</si>
  <si>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</si>
  <si>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</si>
  <si>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</si>
  <si>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</si>
  <si>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</si>
  <si>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</si>
  <si>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</si>
  <si>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</si>
  <si>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</si>
  <si>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</si>
  <si>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</si>
  <si>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</si>
  <si>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</si>
  <si>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</si>
  <si>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</si>
  <si>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</si>
  <si>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</si>
  <si>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</si>
  <si>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</si>
  <si>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</si>
  <si>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</si>
  <si>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</si>
  <si>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</si>
  <si>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</si>
  <si>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</si>
  <si>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</si>
  <si>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</si>
  <si>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</si>
  <si>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</si>
  <si>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</si>
  <si>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</si>
  <si>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</si>
  <si>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</si>
  <si>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</si>
  <si>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</si>
  <si>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</si>
  <si>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</si>
  <si>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</si>
  <si>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</si>
  <si>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</si>
  <si>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</si>
  <si>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</si>
  <si>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</si>
  <si>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</si>
  <si>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</si>
  <si>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</si>
  <si>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</si>
  <si>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</si>
  <si>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</si>
  <si>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</si>
  <si>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</si>
  <si>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</si>
  <si>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</si>
  <si>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</si>
  <si>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</si>
  <si>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</si>
  <si>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</si>
  <si>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</si>
  <si>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</si>
  <si>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</si>
  <si>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</si>
  <si>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</si>
  <si>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</si>
  <si>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</si>
  <si>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</si>
  <si>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</si>
  <si>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</si>
  <si>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</si>
  <si>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</si>
  <si>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</si>
  <si>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</si>
  <si>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</si>
  <si>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</si>
  <si>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</si>
  <si>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</si>
  <si>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</si>
  <si>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</si>
  <si>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</si>
  <si>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</si>
  <si>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</si>
  <si>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</si>
  <si>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</si>
  <si>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</si>
  <si>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</si>
  <si>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</si>
  <si>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</si>
  <si>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</si>
  <si>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</si>
  <si>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</si>
  <si>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</si>
  <si>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</si>
  <si>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</si>
  <si>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</si>
  <si>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</si>
  <si>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</si>
  <si>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</si>
  <si>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</si>
  <si>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</si>
  <si>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</si>
  <si>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</si>
  <si>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</si>
  <si>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</si>
  <si>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</si>
  <si>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</si>
  <si>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</si>
  <si>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</si>
  <si>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</si>
  <si>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</si>
  <si>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</si>
  <si>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</si>
  <si>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</si>
  <si>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</si>
  <si>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</si>
  <si>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</si>
  <si>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</si>
  <si>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</si>
  <si>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</si>
  <si>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</si>
  <si>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</si>
  <si>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</si>
  <si>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</si>
  <si>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</si>
  <si>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</si>
  <si>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</si>
  <si>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</si>
  <si>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</si>
  <si>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</si>
  <si>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</si>
  <si>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</si>
  <si>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</si>
  <si>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</si>
  <si>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</si>
  <si>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</si>
  <si>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</si>
  <si>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</si>
  <si>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</si>
  <si>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</si>
  <si>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</si>
  <si>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</si>
  <si>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</si>
  <si>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</si>
  <si>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</si>
  <si>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</si>
  <si>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</si>
  <si>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</si>
  <si>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</si>
  <si>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</si>
  <si>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</si>
  <si>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</si>
  <si>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</si>
  <si>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</si>
  <si>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</si>
  <si>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</si>
  <si>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</si>
  <si>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</si>
  <si>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</si>
  <si>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</si>
  <si>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</si>
  <si>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</si>
  <si>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</si>
  <si>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</si>
  <si>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</si>
  <si>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</si>
  <si>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</si>
  <si>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</si>
  <si>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</si>
  <si>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</si>
  <si>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</si>
  <si>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</si>
  <si>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</si>
  <si>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</si>
  <si>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</si>
  <si>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</si>
  <si>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</si>
  <si>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</si>
  <si>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</si>
  <si>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</si>
  <si>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</si>
  <si>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</si>
  <si>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</si>
  <si>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</si>
  <si>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</si>
  <si>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</si>
  <si>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</si>
  <si>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</si>
  <si>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</si>
  <si>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</si>
  <si>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</si>
  <si>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</si>
  <si>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</si>
  <si>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</si>
  <si>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</si>
  <si>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</si>
  <si>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</si>
  <si>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</si>
  <si>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</si>
  <si>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</si>
  <si>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</si>
  <si>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</si>
  <si>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</si>
  <si>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</si>
  <si>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</si>
  <si>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</si>
  <si>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</si>
  <si>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</si>
  <si>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</si>
  <si>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</si>
  <si>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</si>
  <si>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</si>
  <si>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</si>
  <si>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</si>
  <si>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</si>
  <si>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</si>
  <si>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</si>
  <si>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</si>
  <si>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</si>
  <si>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</si>
  <si>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</si>
  <si>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</si>
  <si>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</si>
  <si>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</si>
  <si>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</si>
  <si>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</si>
  <si>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</si>
  <si>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</si>
  <si>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</si>
  <si>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</si>
  <si>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</si>
  <si>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</si>
  <si>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</si>
  <si>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</si>
  <si>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</si>
  <si>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</si>
  <si>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</si>
  <si>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</si>
  <si>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</si>
  <si>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</si>
  <si>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</si>
  <si>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</si>
  <si>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</si>
  <si>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</si>
  <si>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</si>
  <si>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</si>
  <si>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</si>
  <si>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</si>
  <si>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</si>
  <si>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</si>
  <si>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</si>
  <si>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</si>
  <si>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</si>
  <si>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</si>
  <si>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</si>
  <si>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</si>
  <si>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</si>
  <si>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</si>
  <si>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</si>
  <si>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</si>
  <si>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</si>
  <si>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</si>
  <si>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</si>
  <si>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</si>
  <si>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</si>
  <si>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</si>
  <si>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</si>
  <si>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</si>
  <si>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</si>
  <si>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</si>
  <si>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</si>
  <si>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</si>
  <si>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</si>
  <si>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</si>
  <si>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</si>
  <si>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</si>
  <si>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</si>
  <si>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</si>
  <si>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</si>
  <si>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</si>
  <si>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</si>
  <si>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</si>
  <si>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</si>
  <si>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</si>
  <si>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</si>
  <si>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</si>
  <si>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</si>
  <si>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</si>
  <si>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</si>
  <si>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</si>
  <si>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</si>
  <si>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</si>
  <si>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</si>
  <si>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</si>
  <si>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</si>
  <si>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</si>
  <si>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</si>
  <si>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</si>
  <si>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</si>
  <si>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</si>
  <si>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</si>
  <si>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</si>
  <si>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</si>
  <si>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</si>
  <si>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</si>
  <si>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</si>
  <si>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</si>
  <si>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</si>
  <si>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</si>
  <si>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</si>
  <si>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</si>
  <si>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</si>
  <si>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</si>
  <si>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</si>
  <si>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</si>
  <si>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</si>
  <si>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</si>
  <si>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</si>
  <si>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</si>
  <si>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</si>
  <si>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</si>
  <si>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</si>
  <si>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</si>
  <si>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</si>
  <si>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</si>
  <si>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</si>
  <si>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</si>
  <si>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</si>
  <si>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</si>
  <si>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</si>
  <si>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</si>
  <si>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</si>
  <si>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</si>
  <si>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</si>
  <si>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</si>
  <si>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</si>
  <si>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</si>
  <si>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</si>
  <si>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</si>
  <si>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</si>
  <si>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</si>
  <si>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</si>
  <si>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</si>
  <si>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</si>
  <si>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</si>
  <si>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</si>
  <si>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</si>
  <si>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</si>
  <si>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</si>
  <si>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</si>
  <si>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</si>
  <si>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</si>
  <si>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</si>
  <si>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</si>
  <si>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</si>
  <si>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</si>
  <si>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</si>
  <si>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</si>
  <si>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</si>
  <si>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</si>
  <si>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</si>
  <si>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</si>
  <si>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</si>
  <si>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</si>
  <si>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</si>
  <si>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</si>
  <si>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</si>
  <si>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</si>
  <si>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</si>
  <si>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</si>
  <si>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</si>
  <si>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</si>
  <si>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</si>
  <si>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</si>
  <si>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</si>
  <si>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</si>
  <si>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</si>
  <si>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</si>
  <si>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</si>
  <si>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</si>
  <si>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</si>
  <si>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</si>
  <si>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</si>
  <si>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</si>
  <si>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</si>
  <si>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</si>
  <si>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</si>
  <si>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</si>
  <si>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</si>
  <si>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</si>
  <si>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</si>
  <si>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</si>
  <si>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</si>
  <si>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</si>
  <si>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</si>
  <si>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</si>
  <si>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</si>
  <si>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</si>
  <si>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</si>
  <si>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</si>
  <si>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</si>
  <si>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</si>
  <si>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</si>
  <si>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</si>
  <si>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</si>
  <si>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</si>
  <si>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</si>
  <si>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</si>
  <si>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</si>
  <si>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</si>
  <si>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</si>
  <si>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</si>
  <si>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</si>
  <si>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</si>
  <si>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</si>
  <si>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</si>
  <si>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</si>
  <si>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</si>
  <si>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</si>
  <si>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</si>
  <si>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</si>
  <si>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</si>
  <si>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</si>
  <si>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</si>
  <si>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</si>
  <si>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</si>
  <si>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</si>
  <si>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</si>
  <si>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</si>
  <si>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</si>
  <si>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</si>
  <si>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</si>
  <si>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</si>
  <si>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</si>
  <si>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</si>
  <si>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</si>
  <si>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</si>
  <si>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</si>
  <si>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</si>
  <si>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</si>
  <si>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</si>
  <si>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</si>
  <si>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</si>
  <si>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</si>
  <si>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</si>
  <si>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</si>
  <si>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</si>
  <si>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</si>
  <si>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</si>
  <si>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</si>
  <si>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</si>
  <si>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</si>
  <si>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</si>
  <si>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</si>
  <si>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</si>
  <si>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</si>
  <si>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</si>
  <si>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</si>
  <si>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</si>
  <si>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</si>
  <si>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</si>
  <si>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</si>
  <si>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</si>
  <si>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</si>
  <si>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</si>
  <si>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</si>
  <si>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</si>
  <si>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</si>
  <si>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</si>
  <si>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</si>
  <si>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</si>
  <si>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</si>
  <si>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</si>
  <si>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</si>
  <si>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</si>
  <si>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</si>
  <si>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</si>
  <si>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</si>
  <si>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</si>
  <si>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</si>
  <si>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</si>
  <si>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</si>
  <si>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</si>
  <si>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</si>
  <si>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</si>
  <si>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</si>
  <si>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</si>
  <si>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</si>
  <si>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</si>
  <si>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</si>
  <si>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</si>
  <si>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</si>
  <si>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</si>
  <si>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</si>
  <si>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</si>
  <si>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</si>
  <si>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</si>
  <si>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</si>
  <si>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</si>
  <si>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</si>
  <si>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</si>
  <si>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</si>
  <si>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</si>
  <si>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</si>
  <si>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</si>
  <si>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</si>
  <si>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</si>
  <si>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</si>
  <si>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</si>
  <si>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</si>
  <si>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</si>
  <si>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</si>
  <si>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</si>
  <si>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</si>
  <si>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</si>
  <si>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</si>
  <si>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</si>
  <si>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</si>
  <si>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</si>
  <si>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</si>
  <si>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</si>
  <si>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</si>
  <si>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</si>
  <si>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</si>
  <si>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</si>
  <si>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</si>
  <si>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</si>
  <si>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</si>
  <si>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</si>
  <si>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</si>
  <si>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</si>
  <si>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</si>
  <si>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</si>
  <si>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</si>
  <si>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</si>
  <si>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</si>
  <si>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</si>
  <si>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</si>
  <si>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</si>
  <si>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</si>
  <si>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</si>
  <si>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</si>
  <si>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</si>
  <si>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</si>
  <si>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</si>
  <si>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</si>
  <si>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</si>
  <si>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</si>
  <si>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</si>
  <si>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</si>
  <si>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</si>
  <si>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</si>
  <si>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</si>
  <si>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</si>
  <si>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</si>
  <si>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</si>
  <si>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</si>
  <si>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</si>
  <si>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</si>
  <si>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</si>
  <si>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</si>
  <si>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</si>
  <si>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</si>
  <si>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</si>
  <si>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</si>
  <si>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</si>
  <si>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</si>
  <si>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</si>
  <si>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</si>
  <si>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</si>
  <si>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</si>
  <si>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</si>
  <si>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</si>
  <si>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</si>
  <si>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</si>
  <si>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</si>
  <si>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</si>
  <si>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</si>
  <si>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</si>
  <si>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</si>
  <si>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</si>
  <si>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</si>
  <si>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</si>
  <si>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</si>
  <si>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</si>
  <si>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</si>
  <si>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</si>
  <si>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</si>
  <si>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</si>
  <si>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</si>
  <si>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</si>
  <si>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</si>
  <si>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</si>
  <si>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</si>
  <si>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</si>
  <si>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</si>
  <si>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</si>
  <si>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</si>
  <si>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</si>
  <si>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</si>
  <si>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</si>
  <si>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</si>
  <si>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</si>
  <si>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</si>
  <si>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</si>
  <si>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</si>
  <si>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</si>
  <si>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</si>
  <si>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</si>
  <si>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</si>
  <si>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</si>
  <si>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</si>
  <si>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</si>
  <si>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</si>
  <si>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</si>
  <si>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</si>
  <si>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</si>
  <si>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</si>
  <si>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</si>
  <si>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</si>
  <si>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</si>
  <si>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</si>
  <si>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</si>
  <si>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</si>
  <si>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</si>
  <si>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</si>
  <si>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</si>
  <si>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</si>
  <si>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</si>
  <si>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</si>
  <si>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</si>
  <si>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</si>
  <si>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</si>
  <si>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</si>
  <si>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</si>
  <si>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</si>
  <si>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</si>
  <si>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</si>
  <si>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</si>
  <si>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</si>
  <si>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</si>
  <si>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</si>
  <si>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</si>
  <si>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</si>
  <si>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</si>
  <si>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</si>
  <si>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</si>
  <si>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</si>
  <si>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</si>
  <si>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</si>
  <si>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</si>
  <si>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</si>
  <si>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</si>
  <si>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</si>
  <si>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</si>
  <si>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</si>
  <si>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</si>
  <si>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</si>
  <si>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</si>
  <si>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</si>
  <si>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</si>
  <si>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</si>
  <si>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</si>
  <si>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</si>
  <si>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</si>
  <si>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</si>
  <si>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</si>
  <si>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</si>
  <si>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</si>
  <si>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</si>
  <si>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</si>
  <si>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</si>
  <si>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</si>
  <si>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</si>
  <si>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</si>
  <si>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</si>
  <si>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</si>
  <si>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</si>
  <si>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</si>
  <si>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</si>
  <si>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</si>
  <si>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</si>
  <si>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</si>
  <si>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</si>
  <si>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</si>
  <si>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</si>
  <si>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</si>
  <si>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</si>
  <si>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</si>
  <si>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</si>
  <si>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</si>
  <si>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</si>
  <si>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</si>
  <si>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</si>
  <si>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</si>
  <si>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</si>
  <si>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</si>
  <si>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</si>
  <si>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</si>
  <si>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</si>
  <si>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</si>
  <si>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</si>
  <si>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</si>
  <si>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</si>
  <si>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</si>
  <si>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</si>
  <si>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</si>
  <si>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</si>
  <si>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</si>
  <si>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</si>
  <si>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</si>
  <si>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</si>
  <si>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</si>
  <si>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</si>
  <si>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</si>
  <si>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</si>
  <si>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</si>
  <si>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</si>
  <si>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</si>
  <si>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</si>
  <si>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</si>
  <si>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</si>
  <si>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</si>
  <si>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</si>
  <si>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</si>
  <si>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</si>
  <si>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</si>
  <si>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</si>
  <si>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</si>
  <si>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</si>
  <si>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</si>
  <si>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</si>
  <si>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</si>
  <si>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</si>
  <si>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</si>
  <si>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</si>
  <si>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</si>
  <si>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</si>
  <si>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</si>
  <si>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</si>
  <si>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</si>
  <si>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</si>
  <si>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</si>
  <si>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</si>
  <si>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</si>
  <si>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</si>
  <si>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</si>
  <si>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</si>
  <si>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</si>
  <si>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</si>
  <si>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</si>
  <si>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</si>
  <si>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</si>
  <si>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</si>
  <si>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</si>
  <si>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</si>
  <si>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</si>
  <si>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</si>
  <si>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</si>
  <si>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</si>
  <si>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</si>
  <si>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</si>
  <si>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</si>
  <si>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</si>
  <si>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</si>
  <si>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</si>
  <si>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</si>
  <si>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</si>
  <si>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</si>
  <si>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</si>
  <si>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</si>
  <si>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</si>
  <si>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</si>
  <si>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</si>
  <si>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</si>
  <si>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</si>
  <si>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</si>
  <si>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</si>
  <si>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</si>
  <si>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</si>
  <si>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</si>
  <si>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</si>
  <si>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</si>
  <si>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</si>
  <si>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</si>
  <si>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</si>
  <si>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</si>
  <si>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</si>
  <si>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</si>
  <si>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</si>
  <si>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</si>
  <si>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</si>
  <si>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</si>
  <si>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</si>
  <si>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</si>
  <si>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</si>
  <si>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</si>
  <si>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</si>
  <si>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</si>
  <si>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</si>
  <si>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</si>
  <si>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</si>
  <si>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</si>
  <si>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</si>
  <si>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</si>
  <si>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</si>
  <si>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</si>
  <si>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</si>
  <si>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</si>
  <si>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</si>
  <si>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</si>
  <si>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</si>
  <si>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</si>
  <si>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</si>
  <si>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</si>
  <si>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</si>
  <si>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</si>
  <si>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</si>
  <si>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</si>
  <si>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</si>
  <si>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</si>
  <si>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</si>
  <si>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</si>
  <si>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</si>
  <si>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</si>
  <si>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</si>
  <si>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</si>
  <si>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</si>
  <si>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</si>
  <si>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</si>
  <si>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</si>
  <si>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</si>
  <si>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</si>
  <si>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</si>
  <si>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</si>
  <si>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</si>
  <si>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</si>
  <si>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</si>
  <si>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</si>
  <si>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</si>
  <si>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</si>
  <si>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</si>
  <si>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</si>
  <si>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</si>
  <si>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</si>
  <si>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</si>
  <si>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</si>
  <si>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</si>
  <si>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</si>
  <si>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</si>
  <si>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</si>
  <si>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</si>
  <si>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</si>
  <si>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</si>
  <si>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</si>
  <si>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</si>
  <si>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</si>
  <si>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</si>
  <si>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</si>
  <si>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</si>
  <si>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</si>
  <si>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</si>
  <si>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</si>
  <si>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</si>
  <si>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</si>
  <si>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</si>
  <si>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</si>
  <si>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</si>
  <si>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</si>
  <si>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</si>
  <si>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</si>
  <si>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</si>
  <si>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</si>
  <si>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</si>
  <si>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</si>
  <si>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</si>
  <si>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</si>
  <si>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</si>
  <si>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</si>
  <si>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</si>
  <si>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</si>
  <si>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</si>
  <si>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</si>
  <si>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</si>
  <si>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</si>
  <si>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</si>
  <si>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</si>
  <si>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</si>
  <si>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</si>
  <si>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</si>
  <si>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</si>
  <si>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</si>
  <si>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</si>
  <si>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</si>
  <si>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</si>
  <si>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</si>
  <si>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</si>
  <si>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</si>
  <si>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</si>
  <si>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</si>
  <si>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</si>
  <si>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</si>
  <si>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</si>
  <si>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</si>
  <si>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</si>
  <si>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</si>
  <si>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</si>
  <si>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</si>
  <si>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</si>
  <si>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</si>
  <si>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</si>
  <si>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</si>
  <si>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</si>
  <si>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</si>
  <si>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</si>
  <si>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</si>
  <si>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</si>
  <si>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</si>
  <si>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</si>
  <si>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</si>
  <si>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</si>
  <si>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</si>
  <si>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</si>
  <si>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</si>
  <si>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</si>
  <si>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</si>
  <si>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</si>
  <si>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</si>
  <si>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</si>
  <si>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</si>
  <si>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</si>
  <si>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</si>
  <si>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</si>
  <si>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</si>
  <si>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</si>
  <si>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</si>
  <si>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</si>
  <si>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</si>
  <si>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</si>
  <si>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</si>
  <si>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</si>
  <si>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</si>
  <si>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</si>
  <si>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</si>
  <si>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</si>
  <si>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</si>
  <si>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</si>
  <si>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</si>
  <si>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</si>
  <si>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</si>
  <si>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</si>
  <si>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</si>
  <si>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</si>
  <si>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</si>
  <si>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</si>
  <si>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</si>
  <si>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</si>
  <si>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</si>
  <si>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</si>
  <si>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</si>
  <si>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</si>
  <si>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</si>
  <si>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</si>
  <si>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</si>
  <si>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</si>
  <si>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</si>
  <si>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</si>
  <si>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</si>
  <si>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</si>
  <si>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</si>
  <si>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</si>
  <si>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</si>
  <si>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</si>
  <si>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</si>
  <si>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</si>
  <si>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</si>
  <si>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</si>
  <si>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</si>
  <si>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</si>
  <si>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</si>
  <si>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</si>
  <si>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</si>
  <si>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</si>
  <si>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</si>
  <si>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</si>
  <si>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</si>
  <si>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</si>
  <si>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</si>
  <si>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</si>
  <si>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</si>
  <si>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</si>
  <si>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</si>
  <si>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</si>
  <si>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</si>
  <si>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</si>
  <si>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</si>
  <si>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</si>
  <si>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</si>
  <si>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</si>
  <si>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</si>
  <si>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</si>
  <si>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</si>
  <si>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</si>
  <si>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</si>
  <si>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</si>
  <si>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</si>
  <si>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</si>
  <si>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</si>
  <si>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</si>
  <si>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</si>
  <si>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</si>
  <si>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</si>
  <si>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</si>
  <si>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</si>
  <si>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</si>
  <si>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</si>
  <si>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</si>
  <si>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</si>
  <si>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</si>
  <si>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</si>
  <si>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</si>
  <si>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</si>
  <si>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</si>
  <si>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</si>
  <si>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</si>
  <si>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</si>
  <si>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</si>
  <si>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</si>
  <si>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</si>
  <si>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</si>
  <si>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</si>
  <si>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</si>
  <si>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</si>
  <si>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</si>
  <si>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</si>
  <si>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</si>
  <si>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</si>
  <si>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</si>
  <si>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</si>
  <si>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</si>
  <si>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</si>
  <si>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</si>
  <si>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</si>
  <si>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</si>
  <si>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</si>
  <si>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</si>
  <si>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</si>
  <si>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</si>
  <si>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</si>
  <si>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</si>
  <si>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</si>
  <si>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</si>
  <si>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</si>
  <si>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</si>
  <si>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</si>
  <si>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</si>
  <si>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</si>
  <si>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</si>
  <si>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</si>
  <si>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</si>
  <si>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</si>
  <si>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</si>
  <si>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</si>
  <si>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</si>
  <si>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</si>
  <si>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</si>
  <si>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</si>
  <si>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</si>
  <si>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</si>
  <si>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</si>
  <si>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</si>
  <si>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</si>
  <si>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</si>
  <si>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</si>
  <si>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</si>
  <si>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</si>
  <si>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</si>
  <si>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</si>
  <si>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</si>
  <si>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</si>
  <si>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</si>
  <si>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</si>
  <si>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</si>
  <si>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</si>
  <si>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</si>
  <si>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</si>
  <si>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</si>
  <si>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</si>
  <si>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</si>
  <si>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</si>
  <si>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</si>
  <si>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</si>
  <si>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</si>
  <si>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</si>
  <si>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</si>
  <si>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</si>
  <si>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</si>
  <si>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</si>
  <si>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</si>
  <si>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</si>
  <si>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</si>
  <si>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</si>
  <si>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</si>
  <si>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</si>
  <si>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</si>
  <si>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</si>
  <si>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</si>
  <si>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</si>
  <si>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</si>
  <si>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</si>
  <si>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</si>
  <si>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</si>
  <si>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</si>
  <si>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</si>
  <si>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</si>
  <si>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</si>
  <si>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</si>
  <si>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</si>
  <si>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</si>
  <si>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</si>
  <si>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</si>
  <si>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</si>
  <si>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</si>
  <si>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</si>
  <si>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</si>
  <si>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</si>
  <si>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</si>
  <si>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</si>
  <si>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</si>
  <si>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</si>
  <si>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</si>
  <si>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</si>
  <si>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</si>
  <si>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</si>
  <si>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</si>
  <si>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</si>
  <si>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</si>
  <si>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</si>
  <si>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</si>
  <si>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</si>
  <si>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</si>
  <si>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</si>
  <si>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</si>
  <si>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</si>
  <si>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</si>
  <si>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</si>
  <si>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</si>
  <si>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</si>
  <si>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</si>
  <si>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</si>
  <si>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</si>
  <si>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</si>
  <si>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</si>
  <si>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</si>
  <si>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</si>
  <si>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</si>
  <si>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</si>
  <si>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</si>
  <si>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</si>
  <si>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</si>
  <si>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</si>
  <si>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</si>
  <si>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</si>
  <si>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</si>
  <si>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</si>
  <si>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</si>
  <si>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</si>
  <si>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</si>
  <si>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</si>
  <si>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</si>
  <si>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</si>
  <si>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</si>
  <si>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</si>
  <si>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</si>
  <si>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</si>
  <si>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</si>
  <si>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</si>
  <si>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</si>
  <si>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</si>
  <si>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</si>
  <si>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</si>
  <si>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</si>
  <si>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</si>
  <si>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</si>
  <si>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</si>
  <si>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</si>
  <si>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</si>
  <si>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</si>
  <si>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</si>
  <si>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</si>
  <si>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</si>
  <si>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</si>
  <si>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</si>
  <si>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</si>
  <si>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</si>
  <si>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</si>
  <si>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</si>
  <si>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</si>
  <si>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</si>
  <si>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</si>
  <si>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</si>
  <si>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</si>
  <si>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</si>
  <si>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</si>
  <si>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</si>
  <si>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</si>
  <si>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</si>
  <si>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</si>
  <si>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</si>
  <si>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</si>
  <si>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</si>
  <si>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</si>
  <si>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</si>
  <si>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</si>
  <si>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</si>
  <si>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</si>
  <si>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</si>
  <si>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</si>
  <si>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</si>
  <si>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</si>
  <si>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</si>
  <si>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</si>
  <si>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</si>
  <si>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</si>
  <si>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</si>
  <si>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</si>
  <si>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</si>
  <si>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</si>
  <si>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</si>
  <si>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</si>
  <si>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</si>
  <si>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</si>
  <si>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</si>
  <si>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</si>
  <si>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</si>
  <si>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</si>
  <si>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</si>
  <si>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</si>
  <si>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</si>
  <si>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</si>
  <si>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</si>
  <si>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</si>
  <si>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</si>
  <si>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</si>
  <si>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</si>
  <si>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</si>
  <si>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</si>
  <si>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</si>
  <si>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</si>
  <si>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</si>
  <si>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</si>
  <si>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</si>
  <si>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</si>
  <si>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</si>
  <si>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</si>
  <si>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</si>
  <si>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</si>
  <si>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</si>
  <si>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</si>
  <si>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</si>
  <si>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</si>
  <si>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</si>
  <si>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</si>
  <si>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</si>
  <si>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</si>
  <si>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</si>
  <si>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</si>
  <si>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</si>
  <si>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</si>
  <si>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</si>
  <si>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</si>
  <si>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</si>
  <si>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</si>
  <si>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</si>
  <si>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</si>
  <si>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</si>
  <si>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</si>
  <si>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</si>
  <si>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</si>
  <si>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</si>
  <si>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</si>
  <si>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</si>
  <si>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</si>
  <si>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</si>
  <si>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</si>
  <si>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</si>
  <si>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</si>
  <si>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</si>
  <si>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</si>
  <si>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</si>
  <si>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</si>
  <si>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</si>
  <si>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</si>
  <si>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</si>
  <si>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</si>
  <si>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</si>
  <si>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</si>
  <si>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</si>
  <si>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</si>
  <si>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</si>
  <si>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</si>
  <si>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</si>
  <si>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</si>
  <si>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</si>
  <si>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</si>
  <si>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</si>
  <si>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</si>
  <si>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</si>
  <si>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</si>
  <si>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</si>
  <si>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</si>
  <si>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</si>
  <si>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</si>
  <si>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</si>
  <si>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</si>
  <si>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</si>
  <si>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</si>
  <si>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</si>
  <si>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</si>
  <si>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</si>
  <si>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</si>
  <si>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</si>
  <si>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</si>
  <si>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</si>
  <si>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</si>
  <si>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</si>
  <si>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</si>
  <si>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</si>
  <si>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</si>
  <si>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</si>
  <si>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</si>
  <si>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</si>
  <si>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</si>
  <si>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</si>
  <si>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</si>
  <si>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</si>
  <si>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</si>
  <si>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</si>
  <si>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</si>
  <si>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</si>
  <si>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</si>
  <si>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</si>
  <si>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</si>
  <si>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</si>
  <si>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</si>
  <si>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</si>
  <si>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</si>
  <si>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</si>
  <si>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</si>
  <si>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</si>
  <si>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</si>
  <si>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</si>
  <si>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</si>
  <si>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</si>
  <si>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</si>
  <si>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</si>
  <si>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</si>
  <si>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</si>
  <si>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</si>
  <si>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</si>
  <si>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</si>
  <si>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</si>
  <si>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</si>
  <si>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</si>
  <si>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</si>
  <si>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</si>
  <si>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</si>
  <si>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</si>
  <si>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</si>
  <si>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</si>
  <si>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</si>
  <si>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</si>
  <si>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</si>
  <si>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</si>
  <si>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</si>
  <si>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</si>
  <si>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</si>
  <si>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</si>
  <si>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</si>
  <si>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</si>
  <si>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</si>
  <si>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</si>
  <si>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</si>
  <si>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</si>
  <si>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</si>
  <si>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</si>
  <si>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</si>
  <si>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</si>
  <si>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</si>
  <si>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</si>
  <si>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</si>
  <si>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</si>
  <si>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</si>
  <si>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</si>
  <si>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</si>
  <si>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</si>
  <si>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</si>
  <si>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</si>
  <si>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</si>
  <si>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</si>
  <si>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</si>
  <si>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</si>
  <si>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</si>
  <si>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</si>
  <si>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</si>
  <si>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</si>
  <si>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</si>
  <si>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</si>
  <si>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</si>
  <si>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</si>
  <si>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</si>
  <si>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</si>
  <si>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</si>
  <si>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</si>
  <si>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</si>
  <si>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</si>
  <si>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</si>
  <si>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</si>
  <si>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</si>
  <si>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</si>
  <si>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</si>
  <si>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</si>
  <si>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</si>
  <si>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</si>
  <si>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</si>
  <si>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</si>
  <si>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</si>
  <si>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</si>
  <si>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</si>
  <si>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</si>
  <si>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</si>
  <si>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</si>
  <si>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</si>
  <si>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</si>
  <si>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</si>
  <si>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</si>
  <si>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</si>
  <si>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</si>
  <si>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</si>
  <si>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</si>
  <si>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</si>
  <si>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</si>
  <si>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</si>
  <si>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</si>
  <si>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</si>
  <si>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</si>
  <si>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</si>
  <si>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</si>
  <si>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</si>
  <si>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</si>
  <si>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</si>
  <si>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</si>
  <si>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</si>
  <si>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</si>
  <si>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</si>
  <si>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</si>
  <si>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</si>
  <si>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</si>
  <si>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</si>
  <si>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</si>
  <si>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</si>
  <si>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</si>
  <si>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</si>
  <si>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</si>
  <si>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</si>
  <si>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</si>
  <si>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</si>
  <si>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</si>
  <si>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</si>
  <si>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</si>
  <si>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</si>
  <si>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</si>
  <si>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</si>
  <si>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</si>
  <si>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</si>
  <si>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</si>
  <si>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</si>
  <si>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</si>
  <si>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</si>
  <si>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</si>
  <si>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</si>
  <si>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</si>
  <si>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</si>
  <si>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</si>
  <si>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</si>
  <si>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</si>
  <si>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</si>
  <si>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</si>
  <si>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</si>
  <si>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</si>
  <si>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</si>
  <si>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</si>
  <si>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</si>
  <si>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</si>
  <si>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</si>
  <si>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</si>
  <si>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</si>
  <si>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</si>
  <si>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</si>
  <si>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</si>
  <si>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</si>
  <si>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</si>
  <si>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</si>
  <si>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</si>
  <si>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</si>
  <si>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</si>
  <si>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</si>
  <si>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</si>
  <si>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</si>
  <si>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</si>
  <si>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</si>
  <si>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</si>
  <si>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</si>
  <si>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</si>
  <si>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</si>
  <si>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</si>
  <si>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</si>
  <si>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</si>
  <si>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</si>
  <si>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</si>
  <si>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</si>
  <si>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</si>
  <si>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</si>
  <si>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</si>
  <si>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</si>
  <si>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</si>
  <si>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</si>
  <si>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</si>
  <si>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</si>
  <si>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</si>
  <si>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</si>
  <si>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</si>
  <si>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</si>
  <si>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</si>
  <si>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</si>
  <si>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</si>
  <si>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</si>
  <si>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</si>
  <si>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</si>
  <si>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</si>
  <si>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</si>
  <si>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</si>
  <si>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</si>
  <si>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</si>
  <si>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</si>
  <si>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</si>
  <si>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</si>
  <si>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</si>
  <si>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</si>
  <si>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</si>
  <si>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</si>
  <si>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</si>
  <si>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</si>
  <si>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</si>
  <si>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</si>
  <si>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</si>
  <si>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</si>
  <si>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</si>
  <si>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</si>
  <si>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</si>
  <si>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</si>
  <si>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</si>
  <si>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</si>
  <si>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</si>
  <si>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</si>
  <si>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</si>
  <si>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</si>
  <si>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</si>
  <si>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</si>
  <si>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</si>
  <si>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</si>
  <si>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</si>
  <si>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</si>
  <si>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</si>
  <si>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</si>
  <si>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</si>
  <si>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</si>
  <si>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</si>
  <si>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</si>
  <si>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</si>
  <si>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</si>
  <si>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</si>
  <si>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</si>
  <si>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</si>
  <si>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</si>
  <si>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</si>
  <si>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</si>
  <si>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</si>
  <si>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</si>
  <si>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</si>
  <si>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</si>
  <si>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</si>
  <si>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</si>
  <si>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</si>
  <si>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</si>
  <si>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</si>
  <si>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</si>
  <si>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</si>
  <si>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</si>
  <si>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</si>
  <si>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</si>
  <si>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</si>
  <si>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</si>
  <si>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</si>
  <si>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</si>
  <si>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</si>
  <si>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</si>
  <si>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</si>
  <si>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</si>
  <si>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</si>
  <si>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</si>
  <si>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</si>
  <si>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</si>
  <si>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</si>
  <si>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</si>
  <si>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</si>
  <si>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</si>
  <si>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</si>
  <si>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</si>
  <si>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</si>
  <si>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</si>
  <si>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</si>
  <si>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</si>
  <si>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</si>
  <si>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</si>
  <si>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</si>
  <si>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</si>
  <si>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</si>
  <si>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</si>
  <si>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</si>
  <si>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</si>
  <si>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</si>
  <si>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</si>
  <si>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</si>
  <si>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</si>
  <si>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</si>
  <si>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</si>
  <si>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</si>
  <si>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</si>
  <si>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</si>
  <si>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</si>
  <si>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</si>
  <si>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</si>
  <si>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</si>
  <si>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</si>
  <si>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</si>
  <si>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</si>
  <si>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</si>
  <si>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</si>
  <si>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</si>
  <si>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</si>
  <si>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</si>
  <si>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</si>
  <si>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</si>
  <si>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</si>
  <si>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</si>
  <si>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</si>
  <si>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</si>
  <si>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</si>
  <si>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</si>
  <si>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</si>
  <si>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</si>
  <si>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</si>
  <si>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</si>
  <si>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</si>
  <si>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</si>
  <si>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</si>
  <si>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</si>
  <si>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</si>
  <si>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</si>
  <si>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</si>
  <si>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</si>
  <si>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</si>
  <si>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</si>
  <si>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</si>
  <si>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</si>
  <si>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</si>
  <si>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</si>
  <si>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</si>
  <si>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</si>
  <si>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</si>
  <si>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</si>
  <si>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</si>
  <si>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</si>
  <si>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</si>
  <si>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</si>
  <si>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</si>
  <si>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</si>
  <si>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</si>
  <si>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</si>
  <si>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</si>
  <si>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</si>
  <si>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</si>
  <si>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</si>
  <si>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</si>
  <si>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</si>
  <si>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</si>
  <si>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</si>
  <si>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</si>
  <si>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</si>
  <si>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</si>
  <si>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</si>
  <si>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</si>
  <si>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</si>
  <si>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</si>
  <si>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</si>
  <si>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</si>
  <si>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</si>
  <si>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</si>
  <si>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</si>
  <si>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</si>
  <si>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</si>
  <si>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</si>
  <si>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</si>
  <si>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</si>
  <si>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</si>
  <si>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</si>
  <si>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</si>
  <si>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</si>
  <si>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</si>
  <si>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</si>
  <si>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</si>
  <si>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</si>
  <si>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</si>
  <si>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</si>
  <si>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</si>
  <si>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</si>
  <si>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</si>
  <si>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</si>
  <si>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</si>
  <si>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</si>
  <si>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</si>
  <si>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</si>
  <si>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</si>
  <si>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</si>
  <si>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</si>
  <si>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</si>
  <si>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</si>
  <si>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</si>
  <si>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</si>
  <si>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</si>
  <si>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</si>
  <si>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</si>
  <si>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</si>
  <si>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</si>
  <si>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</si>
  <si>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</si>
  <si>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</si>
  <si>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</si>
  <si>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</si>
  <si>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</si>
  <si>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</si>
  <si>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</si>
  <si>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</si>
  <si>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</si>
  <si>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</si>
  <si>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</si>
  <si>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</si>
  <si>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</si>
  <si>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</si>
  <si>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</si>
  <si>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</si>
  <si>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</si>
  <si>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</si>
  <si>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</si>
  <si>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</si>
  <si>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</si>
  <si>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</si>
  <si>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</si>
  <si>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</si>
  <si>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</si>
  <si>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</si>
  <si>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</si>
  <si>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</si>
  <si>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</si>
  <si>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</si>
  <si>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</si>
  <si>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</si>
  <si>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</si>
  <si>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</si>
  <si>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</si>
  <si>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</si>
  <si>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</si>
  <si>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</si>
  <si>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</si>
  <si>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</si>
  <si>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</si>
  <si>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</si>
  <si>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</si>
  <si>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</si>
  <si>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</si>
  <si>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</si>
  <si>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</si>
  <si>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</si>
  <si>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</si>
  <si>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</si>
  <si>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</si>
  <si>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</si>
  <si>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</si>
  <si>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</si>
  <si>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</si>
  <si>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</si>
  <si>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</si>
  <si>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</si>
  <si>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</si>
  <si>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</si>
  <si>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</si>
  <si>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</si>
  <si>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</si>
  <si>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</si>
  <si>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</si>
  <si>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</si>
  <si>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</si>
  <si>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</si>
  <si>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</si>
  <si>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</si>
  <si>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</si>
  <si>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</si>
  <si>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</si>
  <si>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</si>
  <si>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</si>
  <si>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</si>
  <si>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</si>
  <si>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</si>
  <si>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</si>
  <si>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</si>
  <si>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</si>
  <si>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</si>
  <si>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</si>
  <si>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</si>
  <si>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</si>
  <si>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</si>
  <si>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</si>
  <si>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</si>
  <si>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</si>
  <si>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</si>
  <si>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</si>
  <si>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</si>
  <si>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</si>
  <si>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</si>
  <si>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</si>
  <si>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</si>
  <si>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</si>
  <si>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</si>
  <si>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</si>
  <si>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</si>
  <si>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</si>
  <si>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</si>
  <si>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</si>
  <si>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</si>
  <si>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</si>
  <si>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</si>
  <si>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</si>
  <si>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</si>
  <si>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</si>
  <si>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</si>
  <si>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</si>
  <si>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</si>
  <si>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</si>
  <si>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</si>
  <si>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</si>
  <si>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</si>
  <si>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</si>
  <si>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</si>
  <si>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</si>
  <si>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</si>
  <si>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</si>
  <si>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</si>
  <si>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</si>
  <si>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</si>
  <si>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</si>
  <si>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</si>
  <si>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</si>
  <si>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</si>
  <si>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</si>
  <si>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</si>
  <si>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</si>
  <si>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</si>
  <si>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</si>
  <si>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</si>
  <si>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</si>
  <si>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</si>
  <si>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</si>
  <si>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</si>
  <si>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</si>
  <si>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</si>
  <si>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</si>
  <si>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</si>
  <si>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</si>
  <si>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</si>
  <si>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</si>
  <si>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</si>
  <si>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</si>
  <si>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</si>
  <si>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</si>
  <si>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</si>
  <si>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</si>
  <si>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</si>
  <si>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</si>
  <si>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</si>
  <si>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</si>
  <si>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</si>
  <si>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</si>
  <si>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</si>
  <si>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</si>
  <si>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</si>
  <si>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</si>
  <si>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</si>
  <si>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</si>
  <si>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</si>
  <si>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</si>
  <si>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</si>
  <si>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</si>
  <si>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</si>
  <si>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</si>
  <si>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</si>
  <si>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</si>
  <si>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</si>
  <si>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</si>
  <si>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</si>
  <si>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</si>
  <si>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</si>
  <si>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</si>
  <si>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</si>
  <si>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</si>
  <si>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</si>
  <si>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</si>
  <si>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</si>
  <si>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</si>
  <si>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</si>
  <si>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</si>
  <si>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</si>
  <si>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</si>
  <si>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</si>
  <si>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</si>
  <si>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</si>
  <si>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</si>
  <si>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</si>
  <si>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</si>
  <si>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</si>
  <si>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</si>
  <si>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</si>
  <si>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</si>
  <si>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</si>
  <si>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</si>
  <si>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</si>
  <si>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</si>
  <si>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</si>
  <si>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</si>
  <si>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</si>
  <si>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</si>
  <si>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</si>
  <si>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</si>
  <si>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</si>
  <si>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</si>
  <si>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</si>
  <si>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</si>
  <si>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</si>
  <si>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</si>
  <si>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</si>
  <si>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</si>
  <si>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</si>
  <si>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</si>
  <si>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</si>
  <si>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</si>
  <si>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</si>
  <si>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</si>
  <si>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</si>
  <si>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</si>
  <si>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</si>
  <si>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</si>
  <si>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</si>
  <si>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</si>
  <si>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</si>
  <si>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</si>
  <si>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</si>
  <si>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</si>
  <si>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</si>
  <si>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</si>
  <si>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</si>
  <si>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</si>
  <si>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</si>
  <si>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</si>
  <si>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</si>
  <si>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</si>
  <si>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</si>
  <si>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</si>
  <si>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</si>
  <si>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</si>
  <si>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</si>
  <si>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</si>
  <si>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</si>
  <si>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</si>
  <si>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</si>
  <si>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</si>
  <si>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</si>
  <si>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</si>
  <si>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</si>
  <si>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</si>
  <si>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</si>
  <si>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</si>
  <si>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</si>
  <si>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</si>
  <si>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</si>
  <si>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</si>
  <si>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</si>
  <si>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</si>
  <si>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</si>
  <si>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</si>
  <si>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</si>
  <si>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</si>
  <si>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</si>
  <si>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</si>
  <si>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</si>
  <si>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</si>
  <si>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</si>
  <si>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</si>
  <si>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</si>
  <si>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</si>
  <si>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</si>
  <si>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</si>
  <si>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</si>
  <si>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</si>
  <si>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</si>
  <si>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</si>
  <si>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</si>
  <si>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</si>
  <si>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</si>
  <si>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</si>
  <si>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</si>
  <si>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</si>
  <si>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</si>
  <si>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</si>
  <si>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</si>
  <si>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</si>
  <si>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</si>
  <si>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</si>
  <si>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</si>
  <si>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</si>
  <si>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</si>
  <si>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</si>
  <si>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</si>
  <si>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</si>
  <si>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</si>
  <si>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</si>
  <si>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</si>
  <si>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</si>
  <si>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</si>
  <si>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</si>
  <si>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</si>
  <si>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</si>
  <si>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</si>
  <si>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</si>
  <si>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</si>
  <si>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</si>
  <si>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</si>
  <si>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</si>
  <si>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</si>
  <si>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</si>
  <si>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</si>
  <si>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</si>
  <si>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</si>
  <si>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</si>
  <si>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</si>
  <si>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</si>
  <si>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</si>
  <si>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</si>
  <si>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</si>
  <si>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</si>
  <si>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</si>
  <si>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</si>
  <si>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</si>
  <si>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</si>
  <si>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</si>
  <si>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</si>
  <si>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</si>
  <si>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</si>
  <si>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</si>
  <si>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</si>
  <si>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</si>
  <si>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</si>
  <si>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</si>
  <si>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</si>
  <si>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</si>
  <si>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</si>
  <si>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</si>
  <si>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</si>
  <si>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</si>
  <si>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</si>
  <si>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</si>
  <si>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</si>
  <si>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</si>
  <si>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</si>
  <si>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</si>
  <si>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</si>
  <si>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</si>
  <si>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</si>
  <si>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</si>
  <si>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</si>
  <si>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</si>
  <si>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</si>
  <si>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</si>
  <si>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</si>
  <si>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</si>
  <si>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</si>
  <si>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</si>
  <si>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</si>
  <si>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</si>
  <si>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</si>
  <si>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</si>
  <si>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</si>
  <si>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</si>
  <si>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</si>
  <si>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</si>
  <si>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</si>
  <si>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</si>
  <si>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</si>
  <si>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</si>
  <si>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</si>
  <si>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</si>
  <si>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</si>
  <si>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</si>
  <si>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</si>
  <si>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</si>
  <si>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</si>
  <si>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</si>
  <si>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</si>
  <si>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</si>
  <si>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</si>
  <si>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</si>
  <si>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</si>
  <si>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</si>
  <si>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</si>
  <si>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</si>
  <si>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</si>
  <si>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</si>
  <si>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</si>
  <si>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</si>
  <si>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</si>
  <si>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</si>
  <si>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</si>
  <si>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</si>
  <si>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</si>
  <si>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</si>
  <si>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</si>
  <si>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</si>
  <si>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</si>
  <si>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</si>
  <si>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</si>
  <si>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</si>
  <si>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</si>
  <si>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</si>
  <si>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</si>
  <si>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</si>
  <si>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</si>
  <si>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</si>
  <si>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</si>
  <si>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</si>
  <si>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</si>
  <si>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</si>
  <si>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</si>
  <si>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</si>
  <si>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</si>
  <si>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</si>
  <si>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</si>
  <si>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</si>
  <si>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</si>
  <si>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</si>
  <si>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</si>
  <si>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</si>
  <si>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</si>
  <si>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</si>
  <si>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</si>
  <si>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</si>
  <si>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</si>
  <si>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</si>
  <si>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</si>
  <si>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</si>
  <si>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</si>
  <si>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</si>
  <si>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</si>
  <si>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</si>
  <si>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</si>
  <si>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</si>
  <si>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</si>
  <si>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</si>
  <si>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</si>
  <si>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</si>
  <si>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</si>
  <si>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</si>
  <si>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</si>
  <si>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</si>
  <si>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</si>
  <si>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</si>
  <si>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</si>
  <si>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</si>
  <si>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</si>
  <si>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</si>
  <si>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</si>
  <si>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</si>
  <si>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</si>
  <si>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</si>
  <si>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</si>
  <si>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</si>
  <si>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</si>
  <si>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</si>
  <si>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</si>
  <si>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</si>
  <si>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</si>
  <si>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</si>
  <si>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</si>
  <si>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</si>
  <si>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</si>
  <si>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</si>
  <si>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</si>
  <si>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</si>
  <si>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</si>
  <si>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</si>
  <si>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</si>
  <si>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</si>
  <si>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</si>
  <si>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</si>
  <si>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</si>
  <si>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</si>
  <si>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</si>
  <si>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</si>
  <si>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</si>
  <si>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</si>
  <si>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</si>
  <si>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</si>
  <si>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</si>
  <si>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</si>
  <si>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</si>
  <si>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</si>
  <si>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</si>
  <si>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</si>
  <si>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</si>
  <si>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</si>
  <si>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</si>
  <si>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</si>
  <si>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</si>
  <si>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</si>
  <si>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</si>
  <si>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</si>
  <si>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</si>
  <si>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</si>
  <si>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</si>
  <si>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</si>
  <si>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</si>
  <si>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</si>
  <si>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</si>
  <si>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</si>
  <si>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</si>
  <si>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</si>
  <si>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</si>
  <si>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</si>
  <si>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</si>
  <si>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</si>
  <si>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</si>
  <si>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</si>
  <si>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</si>
  <si>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</si>
  <si>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</si>
  <si>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</si>
  <si>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</si>
  <si>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</si>
  <si>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</si>
  <si>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</si>
  <si>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</si>
  <si>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</si>
  <si>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</si>
  <si>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</si>
  <si>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</si>
  <si>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</si>
  <si>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</si>
  <si>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</si>
  <si>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</si>
  <si>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</si>
  <si>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</si>
  <si>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</si>
  <si>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</si>
  <si>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</si>
  <si>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</si>
  <si>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</si>
  <si>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</si>
  <si>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</si>
  <si>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</si>
  <si>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</si>
  <si>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</si>
  <si>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</si>
  <si>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</si>
  <si>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</si>
  <si>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</si>
  <si>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</si>
  <si>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</si>
  <si>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</si>
  <si>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</si>
  <si>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</si>
  <si>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</si>
  <si>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</si>
  <si>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</si>
  <si>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</si>
  <si>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</si>
  <si>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</si>
  <si>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</si>
  <si>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</si>
  <si>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</si>
  <si>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</si>
  <si>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</si>
  <si>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</si>
  <si>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</si>
  <si>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</si>
  <si>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</si>
  <si>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</si>
  <si>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</si>
  <si>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</si>
  <si>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</si>
  <si>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</si>
  <si>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</si>
  <si>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</si>
  <si>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</si>
  <si>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</si>
  <si>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</si>
  <si>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</si>
  <si>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</si>
  <si>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</si>
  <si>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</si>
  <si>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</si>
  <si>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</si>
  <si>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</si>
  <si>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</si>
  <si>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</si>
  <si>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</si>
  <si>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</si>
  <si>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</si>
  <si>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</si>
  <si>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</si>
  <si>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</si>
  <si>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</si>
  <si>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</si>
  <si>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</si>
  <si>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</si>
  <si>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</si>
  <si>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</si>
  <si>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</si>
  <si>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</si>
  <si>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</si>
  <si>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</si>
  <si>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</si>
  <si>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</si>
  <si>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</si>
  <si>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</si>
  <si>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</si>
  <si>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</si>
  <si>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</si>
  <si>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</si>
  <si>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</si>
  <si>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</si>
  <si>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</si>
  <si>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</si>
  <si>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</si>
  <si>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</si>
  <si>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</si>
  <si>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</si>
  <si>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</si>
  <si>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</si>
  <si>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</si>
  <si>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</si>
  <si>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</si>
  <si>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</si>
  <si>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</si>
  <si>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</si>
  <si>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</si>
  <si>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</si>
  <si>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</si>
  <si>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</si>
  <si>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</si>
  <si>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</si>
  <si>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</si>
  <si>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</si>
  <si>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</si>
  <si>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</si>
  <si>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</si>
  <si>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</si>
  <si>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</si>
  <si>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</si>
  <si>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</si>
  <si>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</si>
  <si>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</si>
  <si>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</si>
  <si>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</si>
  <si>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</si>
  <si>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</si>
  <si>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</si>
  <si>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</si>
  <si>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</si>
  <si>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</si>
  <si>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</si>
  <si>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</si>
  <si>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</si>
  <si>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</si>
  <si>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</si>
  <si>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</si>
  <si>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</si>
  <si>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</si>
  <si>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</si>
  <si>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</si>
  <si>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</si>
  <si>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</si>
  <si>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</si>
  <si>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</si>
  <si>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</si>
  <si>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</si>
  <si>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</si>
  <si>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</si>
  <si>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</si>
  <si>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</si>
  <si>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</si>
  <si>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</si>
  <si>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</si>
  <si>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</si>
  <si>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</si>
  <si>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</si>
  <si>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</si>
  <si>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</si>
  <si>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</si>
  <si>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</si>
  <si>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</si>
  <si>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</si>
  <si>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</si>
  <si>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</si>
  <si>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</si>
  <si>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</si>
  <si>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</si>
  <si>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</si>
  <si>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</si>
  <si>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</si>
  <si>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</si>
  <si>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</si>
  <si>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</si>
  <si>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</si>
  <si>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</si>
  <si>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</si>
  <si>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</si>
  <si>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</si>
  <si>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</si>
  <si>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</si>
  <si>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</si>
  <si>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</si>
  <si>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</si>
  <si>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</si>
  <si>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</si>
  <si>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</si>
  <si>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</si>
  <si>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</si>
  <si>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</si>
  <si>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</si>
  <si>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</si>
  <si>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</si>
  <si>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</si>
  <si>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</si>
  <si>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</si>
  <si>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</si>
  <si>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</si>
  <si>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</si>
  <si>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</si>
  <si>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</si>
  <si>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</si>
  <si>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</si>
  <si>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</si>
  <si>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</si>
  <si>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</si>
  <si>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</si>
  <si>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</si>
  <si>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</si>
  <si>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</si>
  <si>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</si>
  <si>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</si>
  <si>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</si>
  <si>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</si>
  <si>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</si>
  <si>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</si>
  <si>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</si>
  <si>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</si>
  <si>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</si>
  <si>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</si>
  <si>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</si>
  <si>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</si>
  <si>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</si>
  <si>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</si>
  <si>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</si>
  <si>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</si>
  <si>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</si>
  <si>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</si>
  <si>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</si>
  <si>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</si>
  <si>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</si>
  <si>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</si>
  <si>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</si>
  <si>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</si>
  <si>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</si>
  <si>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</si>
  <si>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</si>
  <si>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</si>
  <si>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</si>
  <si>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</si>
  <si>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</si>
  <si>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</si>
  <si>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</si>
  <si>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</si>
  <si>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</si>
  <si>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</si>
  <si>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</si>
  <si>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</si>
  <si>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</si>
  <si>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</si>
  <si>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</si>
  <si>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</si>
  <si>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</si>
  <si>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</si>
  <si>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</si>
  <si>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</si>
  <si>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</si>
  <si>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</si>
  <si>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</si>
  <si>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</si>
  <si>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</si>
  <si>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</si>
  <si>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</si>
  <si>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</si>
  <si>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</si>
  <si>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</si>
  <si>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</si>
  <si>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</si>
  <si>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</si>
  <si>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</si>
  <si>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</si>
  <si>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</si>
  <si>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</si>
  <si>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</si>
  <si>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</si>
  <si>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</si>
  <si>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</si>
  <si>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</si>
  <si>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</si>
  <si>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</si>
  <si>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</si>
  <si>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</si>
  <si>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</si>
  <si>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</si>
  <si>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</si>
  <si>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</si>
  <si>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</si>
  <si>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</si>
  <si>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</si>
  <si>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</si>
  <si>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</si>
  <si>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</si>
  <si>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</si>
  <si>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</si>
  <si>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</si>
  <si>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</si>
  <si>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</si>
  <si>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</si>
  <si>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</si>
  <si>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</si>
  <si>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</si>
  <si>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</si>
  <si>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</si>
  <si>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</si>
  <si>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</si>
  <si>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</si>
  <si>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</si>
  <si>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</si>
  <si>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</si>
  <si>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</si>
  <si>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</si>
  <si>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</si>
  <si>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</si>
  <si>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</si>
  <si>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</si>
  <si>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</si>
  <si>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</si>
  <si>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</si>
  <si>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</si>
  <si>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</si>
  <si>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</si>
  <si>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</si>
  <si>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</si>
  <si>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</si>
  <si>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</si>
  <si>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</si>
  <si>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</si>
  <si>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</si>
  <si>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</si>
  <si>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</si>
  <si>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</si>
  <si>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</si>
  <si>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</si>
  <si>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</si>
  <si>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</si>
  <si>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</si>
  <si>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</si>
  <si>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</si>
  <si>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</si>
  <si>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</si>
  <si>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</si>
  <si>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</si>
  <si>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</si>
  <si>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</si>
  <si>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</si>
  <si>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</si>
  <si>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</si>
  <si>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</si>
  <si>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</si>
  <si>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</si>
  <si>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</si>
  <si>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</si>
  <si>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</si>
  <si>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</si>
  <si>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</si>
  <si>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</si>
  <si>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</si>
  <si>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</si>
  <si>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</si>
  <si>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</si>
  <si>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</si>
  <si>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</si>
  <si>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</si>
  <si>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</si>
  <si>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</si>
  <si>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</si>
  <si>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</si>
  <si>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</si>
  <si>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</si>
  <si>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</si>
  <si>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</si>
  <si>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</si>
  <si>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</si>
  <si>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</si>
  <si>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</si>
  <si>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</si>
  <si>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</si>
  <si>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</si>
  <si>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</si>
  <si>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</si>
  <si>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</si>
  <si>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</si>
  <si>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</si>
  <si>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</si>
  <si>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</si>
  <si>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</si>
  <si>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</si>
  <si>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</si>
  <si>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</si>
  <si>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</si>
  <si>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</si>
  <si>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</si>
  <si>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</si>
  <si>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</si>
  <si>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</si>
  <si>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</si>
  <si>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</si>
  <si>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</si>
  <si>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</si>
  <si>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</si>
  <si>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</si>
  <si>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</si>
  <si>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</si>
  <si>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</si>
  <si>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</si>
  <si>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</si>
  <si>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</si>
  <si>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</si>
  <si>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</si>
  <si>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</si>
  <si>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</si>
  <si>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</si>
  <si>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</si>
  <si>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</si>
  <si>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</si>
  <si>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</si>
  <si>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</si>
  <si>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</si>
  <si>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</si>
  <si>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</si>
  <si>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</si>
  <si>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</si>
  <si>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</si>
  <si>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</si>
  <si>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</si>
  <si>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</si>
  <si>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</si>
  <si>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</si>
  <si>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</si>
  <si>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</si>
  <si>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</si>
  <si>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</si>
  <si>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</si>
  <si>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</si>
  <si>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</si>
  <si>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</si>
  <si>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</si>
  <si>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</si>
  <si>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</si>
  <si>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</si>
  <si>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</si>
  <si>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</si>
  <si>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</si>
  <si>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</si>
  <si>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</si>
  <si>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</si>
  <si>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</si>
  <si>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</si>
  <si>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</si>
  <si>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</si>
  <si>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</si>
  <si>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</si>
  <si>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</si>
  <si>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</si>
  <si>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</si>
  <si>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</si>
  <si>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</si>
  <si>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</si>
  <si>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</si>
  <si>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</si>
  <si>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</si>
  <si>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</si>
  <si>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</si>
  <si>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</si>
  <si>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</si>
  <si>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</si>
  <si>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</si>
  <si>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</si>
  <si>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</si>
  <si>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</si>
  <si>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</si>
  <si>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</si>
  <si>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</si>
  <si>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</si>
  <si>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</si>
  <si>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</si>
  <si>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</si>
  <si>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</si>
  <si>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</si>
  <si>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</si>
  <si>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</si>
  <si>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</si>
  <si>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</si>
  <si>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</si>
  <si>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</si>
  <si>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</si>
  <si>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</si>
  <si>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</si>
  <si>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</si>
  <si>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</si>
  <si>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</si>
  <si>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</si>
  <si>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</si>
  <si>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</si>
  <si>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</si>
  <si>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</si>
  <si>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</si>
  <si>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</si>
  <si>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</si>
  <si>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</si>
  <si>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</si>
  <si>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</si>
  <si>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</si>
  <si>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</si>
  <si>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</si>
  <si>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</si>
  <si>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</si>
  <si>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</si>
  <si>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</si>
  <si>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</si>
  <si>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</si>
  <si>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</si>
  <si>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</si>
  <si>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</si>
  <si>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</si>
  <si>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</si>
  <si>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</si>
  <si>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</si>
  <si>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</si>
  <si>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</si>
  <si>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</si>
  <si>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</si>
  <si>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</si>
  <si>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</si>
  <si>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</si>
  <si>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</si>
  <si>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</si>
  <si>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</si>
  <si>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</si>
  <si>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</si>
  <si>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</si>
  <si>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</si>
  <si>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</si>
  <si>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</si>
  <si>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</si>
  <si>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</si>
  <si>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</si>
  <si>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</si>
  <si>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</si>
  <si>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</si>
  <si>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</si>
  <si>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</si>
  <si>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</si>
  <si>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</si>
  <si>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</si>
  <si>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</si>
  <si>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</si>
  <si>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</si>
  <si>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</si>
  <si>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</si>
  <si>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</si>
  <si>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</si>
  <si>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</si>
  <si>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</si>
  <si>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</si>
  <si>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</si>
  <si>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</si>
  <si>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</si>
  <si>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</si>
  <si>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</si>
  <si>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</si>
  <si>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</si>
  <si>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</si>
  <si>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</si>
  <si>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</si>
  <si>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</si>
  <si>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</si>
  <si>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</si>
  <si>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</si>
  <si>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</si>
  <si>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</si>
  <si>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</si>
  <si>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</si>
  <si>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</si>
  <si>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</si>
  <si>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</si>
  <si>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</si>
  <si>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</si>
  <si>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</si>
  <si>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</si>
  <si>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</si>
  <si>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</si>
  <si>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</si>
  <si>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</si>
  <si>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</si>
  <si>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</si>
  <si>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</si>
  <si>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</si>
  <si>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</si>
  <si>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</si>
  <si>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</si>
  <si>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</si>
  <si>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</si>
  <si>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</si>
  <si>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</si>
  <si>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</si>
  <si>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</si>
  <si>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</si>
  <si>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</si>
  <si>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</si>
  <si>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</si>
  <si>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</si>
  <si>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</si>
  <si>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</si>
  <si>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</si>
  <si>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</si>
  <si>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</si>
  <si>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</si>
  <si>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</si>
  <si>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</si>
  <si>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</si>
  <si>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</si>
  <si>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</si>
  <si>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</si>
  <si>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</si>
  <si>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</si>
  <si>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</si>
  <si>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</si>
  <si>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</si>
  <si>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</si>
  <si>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</si>
  <si>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</si>
  <si>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</si>
  <si>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</si>
  <si>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</si>
  <si>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</si>
  <si>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</si>
  <si>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</si>
  <si>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</si>
  <si>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</si>
  <si>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</si>
  <si>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</si>
  <si>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</si>
  <si>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</si>
  <si>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</si>
  <si>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</si>
  <si>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</si>
  <si>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</si>
  <si>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</si>
  <si>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</si>
  <si>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</si>
  <si>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</si>
  <si>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</si>
  <si>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</si>
  <si>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</si>
  <si>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</si>
  <si>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</si>
  <si>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</si>
  <si>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</si>
  <si>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</si>
  <si>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</si>
  <si>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</si>
  <si>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</si>
  <si>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</si>
  <si>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</si>
  <si>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</si>
  <si>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</si>
  <si>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</si>
  <si>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</si>
  <si>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</si>
  <si>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</si>
  <si>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</si>
  <si>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</si>
  <si>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</si>
  <si>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</si>
  <si>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</si>
  <si>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</si>
  <si>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</si>
  <si>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</si>
  <si>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</si>
  <si>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</si>
  <si>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</si>
  <si>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</si>
  <si>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</si>
  <si>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</si>
  <si>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</si>
  <si>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</si>
  <si>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</si>
  <si>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</si>
  <si>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</si>
  <si>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</si>
  <si>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</si>
  <si>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</si>
  <si>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</si>
  <si>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</si>
  <si>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</si>
  <si>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</si>
  <si>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</si>
  <si>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</si>
  <si>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</si>
  <si>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</si>
  <si>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</si>
  <si>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</si>
  <si>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</si>
  <si>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</si>
  <si>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</si>
  <si>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</si>
  <si>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</si>
  <si>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</si>
  <si>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</si>
  <si>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</si>
  <si>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</si>
  <si>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</si>
  <si>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</si>
  <si>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</si>
  <si>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</si>
  <si>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</si>
  <si>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</si>
  <si>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</si>
  <si>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</si>
  <si>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</si>
  <si>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</si>
  <si>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</si>
  <si>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</si>
  <si>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</si>
  <si>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</si>
  <si>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</si>
  <si>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</si>
  <si>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</si>
  <si>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</si>
  <si>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</si>
  <si>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</si>
  <si>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</si>
  <si>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</si>
  <si>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</si>
  <si>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</si>
  <si>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</si>
  <si>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</si>
  <si>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</si>
  <si>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</si>
  <si>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</si>
  <si>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</si>
  <si>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</si>
  <si>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</si>
  <si>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</si>
  <si>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</si>
  <si>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</si>
  <si>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</si>
  <si>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</si>
  <si>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</si>
  <si>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</si>
  <si>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</si>
  <si>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</si>
  <si>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</si>
  <si>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</si>
  <si>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</si>
  <si>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</si>
  <si>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</si>
  <si>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</si>
  <si>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</si>
  <si>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</si>
  <si>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</si>
  <si>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</si>
  <si>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</si>
  <si>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</si>
  <si>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</si>
  <si>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</si>
  <si>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</si>
  <si>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</si>
  <si>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</si>
  <si>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</si>
  <si>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</si>
  <si>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</si>
  <si>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</si>
  <si>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</si>
  <si>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</si>
  <si>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</si>
  <si>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</si>
  <si>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</si>
  <si>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</si>
  <si>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</si>
  <si>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</si>
  <si>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</si>
  <si>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</si>
  <si>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</si>
  <si>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</si>
  <si>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</si>
  <si>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</si>
  <si>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</si>
  <si>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</si>
  <si>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</si>
  <si>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</si>
  <si>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</si>
  <si>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</si>
  <si>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</si>
  <si>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</si>
  <si>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</si>
  <si>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</si>
  <si>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</si>
  <si>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</si>
  <si>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</si>
  <si>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</si>
  <si>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</si>
  <si>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</si>
  <si>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</si>
  <si>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</si>
  <si>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</si>
  <si>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</si>
  <si>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</si>
  <si>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</si>
  <si>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</si>
  <si>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</si>
  <si>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</si>
  <si>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</si>
  <si>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</si>
  <si>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</si>
  <si>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</si>
  <si>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</si>
  <si>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</si>
  <si>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</si>
  <si>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</si>
  <si>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</si>
  <si>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</si>
  <si>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</si>
  <si>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</si>
  <si>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</si>
  <si>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</si>
  <si>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</si>
  <si>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</si>
  <si>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</si>
  <si>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</si>
  <si>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</si>
  <si>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</si>
  <si>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</si>
  <si>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</si>
  <si>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</si>
  <si>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</si>
  <si>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</si>
  <si>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</si>
  <si>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</si>
  <si>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</si>
  <si>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</si>
  <si>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</si>
  <si>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</si>
  <si>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</si>
  <si>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</si>
  <si>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</si>
  <si>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</si>
  <si>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</si>
  <si>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</si>
  <si>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</si>
  <si>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</si>
  <si>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</si>
  <si>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</si>
  <si>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</si>
  <si>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</si>
  <si>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</si>
  <si>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</si>
  <si>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</si>
  <si>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</si>
  <si>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</si>
  <si>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</si>
  <si>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</si>
  <si>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</si>
  <si>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</si>
  <si>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</si>
  <si>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</si>
  <si>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</si>
  <si>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</si>
  <si>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</si>
  <si>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</si>
  <si>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</si>
  <si>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</si>
  <si>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</si>
  <si>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</si>
  <si>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</si>
  <si>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</si>
  <si>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</si>
  <si>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</si>
  <si>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</si>
  <si>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</si>
  <si>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</si>
  <si>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</si>
  <si>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</si>
  <si>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</si>
  <si>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</si>
  <si>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</si>
  <si>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</si>
  <si>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</si>
  <si>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</si>
  <si>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</si>
  <si>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</si>
  <si>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</si>
  <si>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</si>
  <si>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</si>
  <si>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</si>
  <si>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</si>
  <si>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</si>
  <si>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</si>
  <si>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</si>
  <si>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</si>
  <si>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</si>
  <si>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</si>
  <si>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</si>
  <si>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</si>
  <si>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</si>
  <si>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</si>
  <si>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</si>
  <si>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</si>
  <si>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</si>
  <si>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</si>
  <si>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</si>
  <si>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</si>
  <si>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</si>
  <si>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</si>
  <si>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</si>
  <si>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</si>
  <si>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</si>
  <si>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</si>
  <si>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</si>
  <si>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</si>
  <si>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</si>
  <si>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</si>
  <si>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</si>
  <si>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</si>
  <si>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</si>
  <si>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</si>
  <si>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</si>
  <si>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</si>
  <si>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</si>
  <si>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</si>
  <si>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</si>
  <si>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</si>
  <si>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</si>
  <si>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</si>
  <si>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</si>
  <si>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</si>
  <si>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</si>
  <si>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</si>
  <si>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</si>
  <si>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</si>
  <si>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</si>
  <si>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</si>
  <si>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</si>
  <si>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</si>
  <si>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</si>
  <si>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</si>
  <si>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</si>
  <si>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</si>
  <si>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</si>
  <si>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</si>
  <si>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</si>
  <si>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</si>
  <si>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</si>
  <si>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</si>
  <si>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</si>
  <si>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</si>
  <si>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</si>
  <si>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</si>
  <si>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</si>
  <si>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</si>
  <si>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</si>
  <si>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</si>
  <si>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</si>
  <si>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</si>
  <si>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</si>
  <si>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</si>
  <si>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</si>
  <si>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</si>
  <si>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</si>
  <si>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</si>
  <si>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</si>
  <si>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</si>
  <si>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</si>
  <si>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</si>
  <si>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</si>
  <si>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</si>
  <si>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</si>
  <si>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</si>
  <si>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</si>
  <si>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</si>
  <si>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</si>
  <si>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</si>
  <si>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</si>
  <si>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</si>
  <si>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</si>
  <si>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</si>
  <si>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</si>
  <si>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</si>
  <si>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</si>
  <si>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</si>
  <si>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</si>
  <si>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</si>
  <si>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</si>
  <si>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</si>
  <si>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</si>
  <si>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</si>
  <si>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</si>
  <si>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</si>
  <si>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</si>
  <si>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</si>
  <si>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</si>
  <si>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</si>
  <si>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</si>
  <si>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</si>
  <si>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CFSI</t>
  </si>
  <si>
    <t>Longtan Shiang Taoyuang</t>
  </si>
  <si>
    <t>Taiwan</t>
  </si>
  <si>
    <t>Qualitek Internatioanl, Inc.</t>
  </si>
  <si>
    <t>050677772</t>
  </si>
  <si>
    <t>DUNS</t>
  </si>
  <si>
    <t>315 Fairbank Street, Addison, Illinois 60101  U.S.A.</t>
  </si>
  <si>
    <t>Jill Saleda-Layton</t>
  </si>
  <si>
    <t>rdlab@qualitek.com</t>
  </si>
  <si>
    <t>Charlie Han</t>
  </si>
  <si>
    <t>Vice President</t>
  </si>
  <si>
    <t>charlie@leadfreeassembly.com</t>
  </si>
  <si>
    <t>The EICC/CFSI allows for approved concentrates to be responsibly sourced from the DRC and surrounding covered areas.  Smelters that source these approved concentrates from these areas are considered "approved, level 3 smelters" for RMI and reporting purposes.  Our policy follows the  Dodd Frank legislation and corresponding RMI approved smelters, and therefore may source material from approved level 3 smelters.</t>
  </si>
  <si>
    <t>www.qualitek.com</t>
  </si>
  <si>
    <t>630-628-8083 x101</t>
  </si>
  <si>
    <t>630-628-8083 x105</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</si>
</sst>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0">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0" fillId="0" borderId="42" xfId="0" applyBorder="1" applyAlignment="1" applyProtection="1">
      <alignment horizontal="left" vertical="center"/>
      <protection locked="0" hidden="1"/>
    </xf>
    <xf numFmtId="0" fontId="0" fillId="0" borderId="65" xfId="0" applyFont="1" applyBorder="1" applyAlignment="1" applyProtection="1">
      <alignment vertical="center" wrapText="1"/>
      <protection locked="0" hidden="1"/>
    </xf>
    <xf numFmtId="0" fontId="0" fillId="0" borderId="66" xfId="0" applyBorder="1" applyAlignment="1" applyProtection="1">
      <alignment horizontal="left" vertical="center"/>
      <protection locked="0" hidden="1"/>
    </xf>
    <xf numFmtId="0" fontId="0" fillId="0" borderId="66" xfId="0" applyBorder="1" applyAlignment="1" applyProtection="1">
      <alignment horizontal="left" vertical="center" wrapText="1"/>
      <protection locked="0" hidden="1"/>
    </xf>
    <xf numFmtId="0" fontId="0" fillId="2" borderId="65" xfId="0" applyFill="1" applyBorder="1" applyAlignment="1" applyProtection="1">
      <alignment horizontal="left" vertical="center" wrapText="1"/>
      <protection locked="0"/>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2" borderId="52" xfId="0" quotePrefix="1"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0" fillId="0" borderId="0" xfId="0" applyProtection="1">
      <protection locked="0"/>
    </xf>
    <xf numFmtId="0" fontId="15" fillId="2" borderId="1" xfId="0" applyFont="1" applyFill="1" applyBorder="1" applyAlignment="1" applyProtection="1">
      <alignment horizontal="left" vertical="center" wrapText="1"/>
      <protection locked="0"/>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0" fontId="103" fillId="0" borderId="69" xfId="0" applyNumberFormat="1" applyFont="1" applyBorder="1" applyAlignment="1" applyProtection="1">
      <alignment horizontal="left"/>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1">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qualitek.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6"/>
      <c r="B2" s="38" t="s">
        <v>975</v>
      </c>
      <c r="C2" s="36"/>
      <c r="D2" s="227"/>
      <c r="E2" s="3"/>
      <c r="F2" s="36"/>
      <c r="G2" s="34"/>
    </row>
    <row r="3" spans="1:7">
      <c r="A3" s="356"/>
      <c r="B3" s="5" t="s">
        <v>964</v>
      </c>
      <c r="C3" s="6"/>
      <c r="D3" s="228"/>
      <c r="E3" s="3"/>
      <c r="F3" s="6"/>
      <c r="G3" s="34"/>
    </row>
    <row r="4" spans="1:7" ht="15.75">
      <c r="A4" s="356"/>
      <c r="B4" s="41" t="s">
        <v>977</v>
      </c>
      <c r="C4" s="7"/>
      <c r="D4" s="229"/>
      <c r="E4" s="3"/>
      <c r="F4" s="7"/>
      <c r="G4" s="34"/>
    </row>
    <row r="5" spans="1:7">
      <c r="A5" s="356"/>
      <c r="B5" s="40" t="s">
        <v>1169</v>
      </c>
      <c r="C5" s="4"/>
      <c r="D5" s="230"/>
      <c r="E5" s="3"/>
      <c r="F5" s="4"/>
      <c r="G5" s="34"/>
    </row>
    <row r="6" spans="1:7">
      <c r="A6" s="356"/>
      <c r="B6" s="8"/>
      <c r="C6" s="8"/>
      <c r="D6" s="231"/>
      <c r="E6" s="8"/>
      <c r="F6" s="8"/>
      <c r="G6" s="34"/>
    </row>
    <row r="7" spans="1:7">
      <c r="A7" s="356"/>
      <c r="B7" s="8"/>
      <c r="C7" s="8"/>
      <c r="D7" s="231"/>
      <c r="E7" s="8"/>
      <c r="F7" s="8"/>
      <c r="G7" s="34"/>
    </row>
    <row r="8" spans="1:7">
      <c r="A8" s="356"/>
      <c r="B8" s="8"/>
      <c r="C8" s="8"/>
      <c r="D8" s="231"/>
      <c r="E8" s="8"/>
      <c r="F8" s="8"/>
      <c r="G8" s="34"/>
    </row>
    <row r="9" spans="1:7">
      <c r="A9" s="356"/>
      <c r="B9" s="359" t="s">
        <v>978</v>
      </c>
      <c r="C9" s="359"/>
      <c r="D9" s="359"/>
      <c r="E9" s="359"/>
      <c r="F9" s="359"/>
      <c r="G9" s="34"/>
    </row>
    <row r="10" spans="1:7" ht="27" customHeight="1">
      <c r="A10" s="356"/>
      <c r="B10" s="360" t="s">
        <v>511</v>
      </c>
      <c r="C10" s="360"/>
      <c r="D10" s="360"/>
      <c r="E10" s="360"/>
      <c r="F10" s="360"/>
      <c r="G10" s="34"/>
    </row>
    <row r="11" spans="1:7" ht="27" customHeight="1">
      <c r="A11" s="356"/>
      <c r="B11" s="361"/>
      <c r="C11" s="361"/>
      <c r="D11" s="361"/>
      <c r="E11" s="361"/>
      <c r="F11" s="361"/>
      <c r="G11" s="34"/>
    </row>
    <row r="12" spans="1:7" ht="16.5">
      <c r="A12" s="356"/>
      <c r="B12" s="42" t="s">
        <v>976</v>
      </c>
      <c r="C12" s="43" t="s">
        <v>979</v>
      </c>
      <c r="D12" s="232" t="s">
        <v>980</v>
      </c>
      <c r="E12" s="43" t="s">
        <v>706</v>
      </c>
      <c r="F12" s="43" t="s">
        <v>707</v>
      </c>
      <c r="G12" s="34"/>
    </row>
    <row r="13" spans="1:7" ht="33.75">
      <c r="A13" s="356"/>
      <c r="B13" s="2">
        <v>1</v>
      </c>
      <c r="C13" s="37" t="s">
        <v>1220</v>
      </c>
      <c r="D13" s="39" t="s">
        <v>1004</v>
      </c>
      <c r="E13" s="214" t="s">
        <v>981</v>
      </c>
      <c r="F13" s="214"/>
      <c r="G13" s="34"/>
    </row>
    <row r="14" spans="1:7" ht="33.75">
      <c r="A14" s="356"/>
      <c r="B14" s="2">
        <v>2</v>
      </c>
      <c r="C14" s="37" t="s">
        <v>1220</v>
      </c>
      <c r="D14" s="39" t="s">
        <v>1154</v>
      </c>
      <c r="E14" s="214" t="s">
        <v>607</v>
      </c>
      <c r="F14" s="214" t="s">
        <v>608</v>
      </c>
      <c r="G14" s="34"/>
    </row>
    <row r="15" spans="1:7" ht="89.1" customHeight="1">
      <c r="A15" s="356"/>
      <c r="B15" s="362">
        <v>2.0099999999999998</v>
      </c>
      <c r="C15" s="353" t="s">
        <v>1220</v>
      </c>
      <c r="D15" s="365" t="s">
        <v>2745</v>
      </c>
      <c r="E15" s="215" t="s">
        <v>708</v>
      </c>
      <c r="F15" s="215" t="s">
        <v>711</v>
      </c>
      <c r="G15" s="34"/>
    </row>
    <row r="16" spans="1:7" ht="99" customHeight="1">
      <c r="A16" s="356"/>
      <c r="B16" s="363"/>
      <c r="C16" s="354"/>
      <c r="D16" s="366"/>
      <c r="E16" s="216"/>
      <c r="F16" s="216" t="s">
        <v>709</v>
      </c>
      <c r="G16" s="34"/>
    </row>
    <row r="17" spans="1:7" ht="63" customHeight="1">
      <c r="A17" s="356"/>
      <c r="B17" s="364"/>
      <c r="C17" s="355"/>
      <c r="D17" s="367"/>
      <c r="E17" s="37"/>
      <c r="F17" s="37" t="s">
        <v>710</v>
      </c>
      <c r="G17" s="34"/>
    </row>
    <row r="18" spans="1:7" ht="117" customHeight="1">
      <c r="A18" s="356"/>
      <c r="B18" s="362">
        <v>2.02</v>
      </c>
      <c r="C18" s="353" t="s">
        <v>1220</v>
      </c>
      <c r="D18" s="365" t="s">
        <v>2746</v>
      </c>
      <c r="E18" s="215" t="s">
        <v>512</v>
      </c>
      <c r="F18" s="215" t="s">
        <v>601</v>
      </c>
      <c r="G18" s="34"/>
    </row>
    <row r="19" spans="1:7" ht="71.099999999999994" customHeight="1">
      <c r="A19" s="356"/>
      <c r="B19" s="363"/>
      <c r="C19" s="354"/>
      <c r="D19" s="366"/>
      <c r="E19" s="216" t="s">
        <v>606</v>
      </c>
      <c r="F19" s="216" t="s">
        <v>513</v>
      </c>
      <c r="G19" s="34"/>
    </row>
    <row r="20" spans="1:7" ht="90.75" customHeight="1">
      <c r="A20" s="356"/>
      <c r="B20" s="363"/>
      <c r="C20" s="354"/>
      <c r="D20" s="366"/>
      <c r="E20" s="216"/>
      <c r="F20" s="216" t="s">
        <v>713</v>
      </c>
      <c r="G20" s="34"/>
    </row>
    <row r="21" spans="1:7" ht="74.25" customHeight="1">
      <c r="A21" s="356"/>
      <c r="B21" s="364"/>
      <c r="C21" s="355"/>
      <c r="D21" s="367"/>
      <c r="E21" s="37"/>
      <c r="F21" s="37" t="s">
        <v>712</v>
      </c>
      <c r="G21" s="34"/>
    </row>
    <row r="22" spans="1:7" ht="90" customHeight="1">
      <c r="A22" s="356"/>
      <c r="B22" s="371">
        <v>2.0299999999999998</v>
      </c>
      <c r="C22" s="371" t="s">
        <v>947</v>
      </c>
      <c r="D22" s="350" t="s">
        <v>2747</v>
      </c>
      <c r="E22" s="353" t="s">
        <v>510</v>
      </c>
      <c r="F22" s="215" t="s">
        <v>534</v>
      </c>
      <c r="G22" s="34"/>
    </row>
    <row r="23" spans="1:7" ht="109.5" customHeight="1">
      <c r="A23" s="356"/>
      <c r="B23" s="372"/>
      <c r="C23" s="372"/>
      <c r="D23" s="351"/>
      <c r="E23" s="354"/>
      <c r="F23" s="216" t="s">
        <v>948</v>
      </c>
      <c r="G23" s="34"/>
    </row>
    <row r="24" spans="1:7" ht="74.25" customHeight="1">
      <c r="A24" s="356"/>
      <c r="B24" s="373"/>
      <c r="C24" s="373"/>
      <c r="D24" s="352"/>
      <c r="E24" s="355"/>
      <c r="F24" s="37" t="s">
        <v>509</v>
      </c>
      <c r="G24" s="34"/>
    </row>
    <row r="25" spans="1:7" ht="72" customHeight="1">
      <c r="A25" s="356"/>
      <c r="B25" s="2" t="s">
        <v>532</v>
      </c>
      <c r="C25" s="37" t="s">
        <v>533</v>
      </c>
      <c r="D25" s="39" t="s">
        <v>2748</v>
      </c>
      <c r="E25" s="37" t="s">
        <v>2741</v>
      </c>
      <c r="F25" s="37" t="s">
        <v>535</v>
      </c>
      <c r="G25" s="34"/>
    </row>
    <row r="26" spans="1:7" ht="98.1" customHeight="1">
      <c r="A26" s="356"/>
      <c r="B26" s="368">
        <v>3</v>
      </c>
      <c r="C26" s="362" t="s">
        <v>79</v>
      </c>
      <c r="D26" s="365" t="s">
        <v>2749</v>
      </c>
      <c r="E26" s="353" t="s">
        <v>0</v>
      </c>
      <c r="F26" s="215" t="s">
        <v>73</v>
      </c>
      <c r="G26" s="34"/>
    </row>
    <row r="27" spans="1:7" ht="90" customHeight="1">
      <c r="A27" s="356"/>
      <c r="B27" s="369"/>
      <c r="C27" s="363"/>
      <c r="D27" s="366"/>
      <c r="E27" s="354"/>
      <c r="F27" s="216" t="s">
        <v>68</v>
      </c>
      <c r="G27" s="34"/>
    </row>
    <row r="28" spans="1:7" ht="19.350000000000001" customHeight="1">
      <c r="A28" s="356"/>
      <c r="B28" s="369"/>
      <c r="C28" s="363"/>
      <c r="D28" s="366"/>
      <c r="E28" s="354"/>
      <c r="F28" s="216" t="s">
        <v>69</v>
      </c>
      <c r="G28" s="34"/>
    </row>
    <row r="29" spans="1:7" ht="74.45" customHeight="1">
      <c r="A29" s="356"/>
      <c r="B29" s="369"/>
      <c r="C29" s="363"/>
      <c r="D29" s="366"/>
      <c r="E29" s="354"/>
      <c r="F29" s="216" t="s">
        <v>70</v>
      </c>
      <c r="G29" s="34"/>
    </row>
    <row r="30" spans="1:7" ht="62.45" customHeight="1">
      <c r="A30" s="356"/>
      <c r="B30" s="369"/>
      <c r="C30" s="363"/>
      <c r="D30" s="366"/>
      <c r="E30" s="354"/>
      <c r="F30" s="216" t="s">
        <v>71</v>
      </c>
      <c r="G30" s="34"/>
    </row>
    <row r="31" spans="1:7" ht="81" customHeight="1">
      <c r="A31" s="356"/>
      <c r="B31" s="369"/>
      <c r="C31" s="363"/>
      <c r="D31" s="366"/>
      <c r="E31" s="354"/>
      <c r="F31" s="216" t="s">
        <v>72</v>
      </c>
      <c r="G31" s="34"/>
    </row>
    <row r="32" spans="1:7" ht="48.75" customHeight="1">
      <c r="A32" s="356"/>
      <c r="B32" s="369"/>
      <c r="C32" s="363"/>
      <c r="D32" s="366"/>
      <c r="E32" s="354"/>
      <c r="F32" s="216" t="s">
        <v>75</v>
      </c>
      <c r="G32" s="34"/>
    </row>
    <row r="33" spans="1:7" ht="98.45" customHeight="1">
      <c r="A33" s="356"/>
      <c r="B33" s="369"/>
      <c r="C33" s="363"/>
      <c r="D33" s="366"/>
      <c r="E33" s="354"/>
      <c r="F33" s="216" t="s">
        <v>74</v>
      </c>
      <c r="G33" s="34"/>
    </row>
    <row r="34" spans="1:7" ht="89.1" customHeight="1">
      <c r="A34" s="356"/>
      <c r="B34" s="369"/>
      <c r="C34" s="363"/>
      <c r="D34" s="366"/>
      <c r="E34" s="354"/>
      <c r="F34" s="216" t="s">
        <v>76</v>
      </c>
      <c r="G34" s="34"/>
    </row>
    <row r="35" spans="1:7" ht="29.1" customHeight="1">
      <c r="A35" s="356"/>
      <c r="B35" s="369"/>
      <c r="C35" s="363"/>
      <c r="D35" s="366"/>
      <c r="E35" s="354"/>
      <c r="F35" s="216" t="s">
        <v>77</v>
      </c>
      <c r="G35" s="34"/>
    </row>
    <row r="36" spans="1:7" ht="126.75">
      <c r="A36" s="356"/>
      <c r="B36" s="370"/>
      <c r="C36" s="364"/>
      <c r="D36" s="367"/>
      <c r="E36" s="355"/>
      <c r="F36" s="217" t="s">
        <v>78</v>
      </c>
      <c r="G36" s="34"/>
    </row>
    <row r="37" spans="1:7" ht="123.75">
      <c r="A37" s="356"/>
      <c r="B37" s="176">
        <v>3.01</v>
      </c>
      <c r="C37" s="177" t="s">
        <v>79</v>
      </c>
      <c r="D37" s="39" t="s">
        <v>2750</v>
      </c>
      <c r="E37" s="218" t="s">
        <v>1475</v>
      </c>
      <c r="F37" s="219" t="s">
        <v>1602</v>
      </c>
      <c r="G37" s="34"/>
    </row>
    <row r="38" spans="1:7" ht="112.5">
      <c r="A38" s="356"/>
      <c r="B38" s="176">
        <v>3.02</v>
      </c>
      <c r="C38" s="177" t="s">
        <v>1509</v>
      </c>
      <c r="D38" s="39" t="s">
        <v>2751</v>
      </c>
      <c r="E38" s="218" t="s">
        <v>1524</v>
      </c>
      <c r="F38" s="219" t="s">
        <v>1603</v>
      </c>
      <c r="G38" s="34"/>
    </row>
    <row r="39" spans="1:7" ht="101.25">
      <c r="A39" s="356"/>
      <c r="B39" s="192">
        <v>4</v>
      </c>
      <c r="C39" s="191" t="s">
        <v>1782</v>
      </c>
      <c r="D39" s="39" t="s">
        <v>2752</v>
      </c>
      <c r="E39" s="37" t="s">
        <v>2680</v>
      </c>
      <c r="F39" s="37" t="s">
        <v>1783</v>
      </c>
      <c r="G39" s="34"/>
    </row>
    <row r="40" spans="1:7" ht="56.25">
      <c r="A40" s="356"/>
      <c r="B40" s="176">
        <v>4.01</v>
      </c>
      <c r="C40" s="191" t="s">
        <v>1782</v>
      </c>
      <c r="D40" s="39" t="s">
        <v>2754</v>
      </c>
      <c r="E40" s="37" t="s">
        <v>2700</v>
      </c>
      <c r="F40" s="37" t="s">
        <v>2706</v>
      </c>
      <c r="G40" s="34"/>
    </row>
    <row r="41" spans="1:7" ht="56.25">
      <c r="A41" s="356"/>
      <c r="B41" s="176" t="s">
        <v>2739</v>
      </c>
      <c r="C41" s="191" t="s">
        <v>1782</v>
      </c>
      <c r="D41" s="39" t="s">
        <v>2753</v>
      </c>
      <c r="E41" s="37" t="s">
        <v>2742</v>
      </c>
      <c r="F41" s="37" t="s">
        <v>2740</v>
      </c>
      <c r="G41" s="34"/>
    </row>
    <row r="42" spans="1:7" ht="56.25">
      <c r="A42" s="356"/>
      <c r="B42" s="176" t="s">
        <v>2791</v>
      </c>
      <c r="C42" s="191" t="s">
        <v>1782</v>
      </c>
      <c r="D42" s="39" t="s">
        <v>2962</v>
      </c>
      <c r="E42" s="37" t="s">
        <v>2741</v>
      </c>
      <c r="F42" s="37" t="s">
        <v>2792</v>
      </c>
      <c r="G42" s="34"/>
    </row>
    <row r="43" spans="1:7" ht="123.75">
      <c r="A43" s="356"/>
      <c r="B43" s="208">
        <v>4.0999999999999996</v>
      </c>
      <c r="C43" s="191" t="s">
        <v>2961</v>
      </c>
      <c r="D43" s="209">
        <v>42867</v>
      </c>
      <c r="E43" s="220" t="s">
        <v>2964</v>
      </c>
      <c r="F43" s="37" t="s">
        <v>2963</v>
      </c>
      <c r="G43" s="34"/>
    </row>
    <row r="44" spans="1:7" ht="78.75">
      <c r="A44" s="356"/>
      <c r="B44" s="208">
        <v>4.2</v>
      </c>
      <c r="C44" s="191" t="s">
        <v>2961</v>
      </c>
      <c r="D44" s="209">
        <v>42704</v>
      </c>
      <c r="E44" s="220" t="s">
        <v>3218</v>
      </c>
      <c r="F44" s="37" t="s">
        <v>3183</v>
      </c>
      <c r="G44" s="34"/>
    </row>
    <row r="45" spans="1:7" ht="157.5">
      <c r="A45" s="356"/>
      <c r="B45" s="287">
        <v>5</v>
      </c>
      <c r="C45" s="191" t="s">
        <v>2961</v>
      </c>
      <c r="D45" s="209">
        <v>42867</v>
      </c>
      <c r="E45" s="220" t="s">
        <v>14010</v>
      </c>
      <c r="F45" s="37" t="s">
        <v>13594</v>
      </c>
      <c r="G45" s="34"/>
    </row>
    <row r="46" spans="1:7" ht="45">
      <c r="A46" s="356"/>
      <c r="B46" s="208">
        <v>5.01</v>
      </c>
      <c r="C46" s="191" t="s">
        <v>2961</v>
      </c>
      <c r="D46" s="209">
        <v>42907</v>
      </c>
      <c r="E46" s="220" t="s">
        <v>14066</v>
      </c>
      <c r="F46" s="37" t="s">
        <v>13594</v>
      </c>
      <c r="G46" s="34"/>
    </row>
    <row r="47" spans="1:7" ht="67.5">
      <c r="A47" s="356"/>
      <c r="B47" s="208">
        <v>5.0999999999999996</v>
      </c>
      <c r="C47" s="191" t="s">
        <v>2961</v>
      </c>
      <c r="D47" s="209">
        <v>43070</v>
      </c>
      <c r="E47" s="220" t="s">
        <v>14292</v>
      </c>
      <c r="F47" s="37" t="s">
        <v>14293</v>
      </c>
      <c r="G47" s="34"/>
    </row>
    <row r="48" spans="1:7" ht="56.25">
      <c r="A48" s="356"/>
      <c r="B48" s="208">
        <v>5.1100000000000003</v>
      </c>
      <c r="C48" s="191" t="s">
        <v>14573</v>
      </c>
      <c r="D48" s="209">
        <v>43217</v>
      </c>
      <c r="E48" s="220" t="s">
        <v>14719</v>
      </c>
      <c r="F48" s="37" t="s">
        <v>14614</v>
      </c>
      <c r="G48" s="34"/>
    </row>
    <row r="49" spans="1:7" ht="13.5" thickBot="1">
      <c r="A49" s="357"/>
      <c r="B49" s="358" t="str">
        <f ca="1">OFFSET(L!$C$1,MATCH("General"&amp;"Cpy",L!$A:$A,0)-1,SL,,)</f>
        <v>© 2018 Responsible Minerals Initiative. All rights reserved.</v>
      </c>
      <c r="C49" s="358"/>
      <c r="D49" s="358"/>
      <c r="E49" s="358"/>
      <c r="F49" s="358"/>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4"/>
      <c r="B1" s="375"/>
      <c r="C1" s="375"/>
      <c r="D1" s="376"/>
    </row>
    <row r="2" spans="1:5" ht="71.25" customHeight="1">
      <c r="A2" s="91"/>
      <c r="B2" s="172" t="str">
        <f ca="1">OFFSET(L!$C$1,MATCH("Definitions"&amp;ADDRESS(ROW(),COLUMN(),4),L!$A:$A,0)-1,SL,,)</f>
        <v>ITEM</v>
      </c>
      <c r="C2" s="172" t="str">
        <f ca="1">OFFSET(L!$C$1,MATCH("Definitions"&amp;ADDRESS(ROW(),COLUMN(),4),L!$A:$A,0)-1,SL,,)</f>
        <v>DEFINITION</v>
      </c>
      <c r="D2" s="378"/>
      <c r="E2" s="132"/>
    </row>
    <row r="3" spans="1:5" ht="63.95" customHeight="1">
      <c r="A3" s="91"/>
      <c r="B3" s="78" t="str">
        <f ca="1">OFFSET(L!$C$1,MATCH("Definitions"&amp;ADDRESS(ROW(),COLUMN(),4),L!$A:$A,0)-1,SL,,)</f>
        <v>3TG</v>
      </c>
      <c r="C3" s="78" t="str">
        <f ca="1">OFFSET(L!$C$1,MATCH("Definitions"&amp;ADDRESS(ROW(),COLUMN(),4),L!$A:$A,0)-1,SL,,)</f>
        <v>Tantalum, tin, tungsten, gold</v>
      </c>
      <c r="D3" s="378"/>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8"/>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8"/>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8"/>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8"/>
      <c r="E8" s="133" t="s">
        <v>1458</v>
      </c>
    </row>
    <row r="9" spans="1:5" ht="45">
      <c r="A9" s="91"/>
      <c r="B9" s="78" t="str">
        <f ca="1">OFFSET(L!$C$1,MATCH("Definitions"&amp;ADDRESS(ROW(),COLUMN(),4),L!$A:$A,0)-1,SL,,)</f>
        <v>DRC</v>
      </c>
      <c r="C9" s="78" t="str">
        <f ca="1">OFFSET(L!$C$1,MATCH("Definitions"&amp;ADDRESS(ROW(),COLUMN(),4),L!$A:$A,0)-1,SL,,)</f>
        <v>Democratic Republic of Congo</v>
      </c>
      <c r="D9" s="378"/>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8"/>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8"/>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8"/>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8"/>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8"/>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8"/>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8"/>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8"/>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8"/>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8"/>
      <c r="E19" s="133"/>
    </row>
    <row r="20" spans="1:5" ht="15">
      <c r="A20" s="91"/>
      <c r="B20" s="78" t="str">
        <f ca="1">OFFSET(L!$C$1,MATCH("Definitions"&amp;ADDRESS(ROW(),COLUMN(),4),L!$A:$A,0)-1,SL,,)</f>
        <v>RBA</v>
      </c>
      <c r="C20" s="78" t="str">
        <f ca="1">OFFSET(L!$C$1,MATCH("Definitions"&amp;ADDRESS(ROW(),COLUMN(),4),L!$A:$A,0)-1,SL,,)</f>
        <v>Responsible Business Alliance (www.responsiblebusiness.org)</v>
      </c>
      <c r="D20" s="378"/>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8"/>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8"/>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8"/>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8"/>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8"/>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8"/>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8"/>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8"/>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8"/>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8"/>
      <c r="E30" s="133"/>
    </row>
    <row r="31" spans="1:5" ht="15">
      <c r="A31" s="91"/>
      <c r="B31" s="377" t="str">
        <f ca="1">OFFSET(L!$C$1,MATCH("General"&amp;"Cpy",L!$A:$A,0)-1,SL,,)</f>
        <v>© 2018 Responsible Minerals Initiative. All rights reserved.</v>
      </c>
      <c r="C31" s="377"/>
      <c r="D31" s="378"/>
      <c r="E31" s="133"/>
    </row>
    <row r="32" spans="1:5" ht="13.5" thickBot="1">
      <c r="A32" s="92"/>
      <c r="B32" s="195"/>
      <c r="C32" s="195"/>
      <c r="D32" s="379"/>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B6" sqref="B6:J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3" t="str">
        <f ca="1">OFFSET(L!$C$1,MATCH("Declaration"&amp;ADDRESS(ROW(),COLUMN(),4),L!$A:$A,0)-1,SL,,)</f>
        <v>Conflict Minerals Reporting Template (CMRT)</v>
      </c>
      <c r="E2" s="414"/>
      <c r="F2" s="414"/>
      <c r="G2" s="414"/>
      <c r="H2" s="414"/>
      <c r="I2" s="414"/>
      <c r="J2" s="415"/>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23"/>
      <c r="G3" s="423"/>
      <c r="H3" s="423"/>
      <c r="I3" s="194"/>
      <c r="J3" s="173" t="s">
        <v>14598</v>
      </c>
      <c r="K3" s="48"/>
      <c r="L3" s="144"/>
      <c r="M3" s="135"/>
      <c r="N3" s="135"/>
      <c r="O3" s="136"/>
      <c r="P3" s="149">
        <f>MATCH($D$3,LN,0)</f>
        <v>1</v>
      </c>
    </row>
    <row r="4" spans="1:34" ht="15.75">
      <c r="A4" s="46"/>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8" t="str">
        <f ca="1">OFFSET(L!$C$1,MATCH("Declaration"&amp;ADDRESS(ROW(),COLUMN(),4),L!$A:$A,0)-1,SL,,)</f>
        <v>Company Information</v>
      </c>
      <c r="C7" s="428"/>
      <c r="D7" s="428"/>
      <c r="E7" s="428"/>
      <c r="F7" s="428"/>
      <c r="G7" s="428"/>
      <c r="H7" s="428"/>
      <c r="I7" s="428"/>
      <c r="J7" s="42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6" t="s">
        <v>15428</v>
      </c>
      <c r="E8" s="417"/>
      <c r="F8" s="417"/>
      <c r="G8" s="417"/>
      <c r="H8" s="417"/>
      <c r="I8" s="417"/>
      <c r="J8" s="418"/>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5" t="s">
        <v>569</v>
      </c>
      <c r="E9" s="426"/>
      <c r="F9" s="426"/>
      <c r="G9" s="427"/>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9" t="str">
        <f ca="1">OFFSET(L!$C$1,MATCH("Declaration"&amp;ADDRESS(ROW(),COLUMN(),4)&amp;LEFT($D$9,1),L!$A:$A,0)-1,SL,,)</f>
        <v>Description of Scope:</v>
      </c>
      <c r="C10" s="156"/>
      <c r="D10" s="420"/>
      <c r="E10" s="421"/>
      <c r="F10" s="421"/>
      <c r="G10" s="421"/>
      <c r="H10" s="421"/>
      <c r="I10" s="421"/>
      <c r="J10" s="42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30"/>
      <c r="C11" s="156"/>
      <c r="D11" s="395" t="str">
        <f ca="1">IF(D9=Q9,OFFSET(L!$C$1,MATCH("Declaration"&amp;ADDRESS(ROW(),COLUMN(),4),L!$A:$A,0)-1,SL,,),"")</f>
        <v/>
      </c>
      <c r="E11" s="396"/>
      <c r="F11" s="396"/>
      <c r="G11" s="396"/>
      <c r="H11" s="396"/>
      <c r="I11" s="396"/>
      <c r="J11" s="39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46" t="s">
        <v>15429</v>
      </c>
      <c r="E12" s="404"/>
      <c r="F12" s="404"/>
      <c r="G12" s="404"/>
      <c r="H12" s="404"/>
      <c r="I12" s="404"/>
      <c r="J12" s="40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47" t="s">
        <v>15430</v>
      </c>
      <c r="E13" s="448"/>
      <c r="F13" s="448"/>
      <c r="G13" s="448"/>
      <c r="H13" s="448"/>
      <c r="I13" s="448"/>
      <c r="J13" s="44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0" t="s">
        <v>15431</v>
      </c>
      <c r="E14" s="450"/>
      <c r="F14" s="450"/>
      <c r="G14" s="450"/>
      <c r="H14" s="450"/>
      <c r="I14" s="450"/>
      <c r="J14" s="38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51" t="s">
        <v>15432</v>
      </c>
      <c r="E15" s="451"/>
      <c r="F15" s="451"/>
      <c r="G15" s="451"/>
      <c r="H15" s="451"/>
      <c r="I15" s="451"/>
      <c r="J15" s="45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89" t="s">
        <v>15433</v>
      </c>
      <c r="E16" s="452"/>
      <c r="F16" s="452"/>
      <c r="G16" s="452"/>
      <c r="H16" s="452"/>
      <c r="I16" s="452"/>
      <c r="J16" s="39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9" t="s">
        <v>15440</v>
      </c>
      <c r="E17" s="452"/>
      <c r="F17" s="452"/>
      <c r="G17" s="452"/>
      <c r="H17" s="452"/>
      <c r="I17" s="452"/>
      <c r="J17" s="39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9" t="s">
        <v>15434</v>
      </c>
      <c r="E18" s="452"/>
      <c r="F18" s="452"/>
      <c r="G18" s="452"/>
      <c r="H18" s="452"/>
      <c r="I18" s="452"/>
      <c r="J18" s="39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9" t="s">
        <v>15435</v>
      </c>
      <c r="E19" s="452"/>
      <c r="F19" s="452"/>
      <c r="G19" s="452"/>
      <c r="H19" s="452"/>
      <c r="I19" s="452"/>
      <c r="J19" s="39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53" t="s">
        <v>15436</v>
      </c>
      <c r="E20" s="454"/>
      <c r="F20" s="454"/>
      <c r="G20" s="454"/>
      <c r="H20" s="454"/>
      <c r="I20" s="454"/>
      <c r="J20" s="45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56" t="s">
        <v>15439</v>
      </c>
      <c r="E21" s="457"/>
      <c r="F21" s="457"/>
      <c r="G21" s="457"/>
      <c r="H21" s="457"/>
      <c r="I21" s="457"/>
      <c r="J21" s="45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1">
        <v>43238</v>
      </c>
      <c r="E22" s="432"/>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6"/>
      <c r="E23" s="40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3" t="str">
        <f ca="1">OFFSET(L!$C$1,MATCH("Declaration"&amp;ADDRESS(ROW(),COLUMN(),4),L!$A:$A,0)-1,SL,,)</f>
        <v>Answer the following questions 1 - 7 based on the declaration scope indicated above</v>
      </c>
      <c r="C24" s="433"/>
      <c r="D24" s="433"/>
      <c r="E24" s="433"/>
      <c r="F24" s="433"/>
      <c r="G24" s="433"/>
      <c r="H24" s="433"/>
      <c r="I24" s="433"/>
      <c r="J24" s="433"/>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80" t="s">
        <v>564</v>
      </c>
      <c r="E26" s="381"/>
      <c r="F26" s="15"/>
      <c r="G26" s="382"/>
      <c r="H26" s="383"/>
      <c r="I26" s="383"/>
      <c r="J26" s="384"/>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0" t="s">
        <v>563</v>
      </c>
      <c r="E27" s="381"/>
      <c r="F27" s="15"/>
      <c r="G27" s="382"/>
      <c r="H27" s="383"/>
      <c r="I27" s="383"/>
      <c r="J27" s="38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80" t="s">
        <v>564</v>
      </c>
      <c r="E28" s="381"/>
      <c r="F28" s="15"/>
      <c r="G28" s="382"/>
      <c r="H28" s="383"/>
      <c r="I28" s="383"/>
      <c r="J28" s="384"/>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80" t="s">
        <v>564</v>
      </c>
      <c r="E29" s="381"/>
      <c r="F29" s="15"/>
      <c r="G29" s="382"/>
      <c r="H29" s="383"/>
      <c r="I29" s="383"/>
      <c r="J29" s="384"/>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00" t="str">
        <f ca="1">D25</f>
        <v>Answer</v>
      </c>
      <c r="E31" s="400"/>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8"/>
      <c r="E32" s="399"/>
      <c r="F32" s="59"/>
      <c r="G32" s="382"/>
      <c r="H32" s="383"/>
      <c r="I32" s="383"/>
      <c r="J32" s="38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80" t="s">
        <v>563</v>
      </c>
      <c r="E33" s="381"/>
      <c r="F33" s="59"/>
      <c r="G33" s="382"/>
      <c r="H33" s="383"/>
      <c r="I33" s="383"/>
      <c r="J33" s="38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80"/>
      <c r="E34" s="381"/>
      <c r="F34" s="59"/>
      <c r="G34" s="382"/>
      <c r="H34" s="383"/>
      <c r="I34" s="383"/>
      <c r="J34" s="38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80"/>
      <c r="E35" s="381"/>
      <c r="F35" s="59"/>
      <c r="G35" s="382"/>
      <c r="H35" s="383"/>
      <c r="I35" s="383"/>
      <c r="J35" s="38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0" t="str">
        <f ca="1">D25</f>
        <v>Answer</v>
      </c>
      <c r="E37" s="400"/>
      <c r="F37" s="21"/>
      <c r="G37" s="56" t="str">
        <f ca="1">G25</f>
        <v>Comments</v>
      </c>
      <c r="H37" s="403"/>
      <c r="I37" s="403"/>
      <c r="J37" s="403"/>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80"/>
      <c r="E38" s="381"/>
      <c r="F38" s="59"/>
      <c r="G38" s="382"/>
      <c r="H38" s="383"/>
      <c r="I38" s="383"/>
      <c r="J38" s="384"/>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69.75" customHeight="1">
      <c r="A39" s="53"/>
      <c r="B39" s="52" t="str">
        <f ca="1">OFFSET(L!$C$1,MATCH("Declaration"&amp;ADDRESS(ROW(),COLUMN(),4),L!$A:$A,0)-1,SL,,)&amp;P39</f>
        <v>Tin  (*)</v>
      </c>
      <c r="C39" s="13"/>
      <c r="D39" s="380" t="s">
        <v>564</v>
      </c>
      <c r="E39" s="381"/>
      <c r="F39" s="59"/>
      <c r="G39" s="382" t="s">
        <v>15437</v>
      </c>
      <c r="H39" s="383"/>
      <c r="I39" s="383"/>
      <c r="J39" s="38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80"/>
      <c r="E40" s="381"/>
      <c r="F40" s="59"/>
      <c r="G40" s="382"/>
      <c r="H40" s="383"/>
      <c r="I40" s="383"/>
      <c r="J40" s="384"/>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80"/>
      <c r="E41" s="381"/>
      <c r="F41" s="59"/>
      <c r="G41" s="382"/>
      <c r="H41" s="383"/>
      <c r="I41" s="383"/>
      <c r="J41" s="384"/>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00" t="str">
        <f ca="1">D25</f>
        <v>Answer</v>
      </c>
      <c r="E43" s="400"/>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80"/>
      <c r="E44" s="381"/>
      <c r="F44" s="59"/>
      <c r="G44" s="382"/>
      <c r="H44" s="383"/>
      <c r="I44" s="383"/>
      <c r="J44" s="38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0" t="s">
        <v>564</v>
      </c>
      <c r="E45" s="381"/>
      <c r="F45" s="59"/>
      <c r="G45" s="382"/>
      <c r="H45" s="383"/>
      <c r="I45" s="383"/>
      <c r="J45" s="38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80"/>
      <c r="E46" s="381"/>
      <c r="F46" s="59"/>
      <c r="G46" s="382"/>
      <c r="H46" s="383"/>
      <c r="I46" s="383"/>
      <c r="J46" s="38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80"/>
      <c r="E47" s="381"/>
      <c r="F47" s="59"/>
      <c r="G47" s="382"/>
      <c r="H47" s="383"/>
      <c r="I47" s="383"/>
      <c r="J47" s="38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00" t="str">
        <f ca="1">D25</f>
        <v>Answer</v>
      </c>
      <c r="E49" s="400"/>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401"/>
      <c r="E50" s="402"/>
      <c r="F50" s="59"/>
      <c r="G50" s="382"/>
      <c r="H50" s="383"/>
      <c r="I50" s="383"/>
      <c r="J50" s="38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01">
        <v>1</v>
      </c>
      <c r="E51" s="402"/>
      <c r="F51" s="59"/>
      <c r="G51" s="382"/>
      <c r="H51" s="383"/>
      <c r="I51" s="383"/>
      <c r="J51" s="38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401"/>
      <c r="E52" s="402"/>
      <c r="F52" s="59"/>
      <c r="G52" s="382"/>
      <c r="H52" s="383"/>
      <c r="I52" s="383"/>
      <c r="J52" s="38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401"/>
      <c r="E53" s="402"/>
      <c r="F53" s="59"/>
      <c r="G53" s="382"/>
      <c r="H53" s="383"/>
      <c r="I53" s="383"/>
      <c r="J53" s="38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00" t="str">
        <f ca="1">D25</f>
        <v>Answer</v>
      </c>
      <c r="E55" s="400"/>
      <c r="F55" s="21"/>
      <c r="G55" s="56" t="str">
        <f ca="1">G25</f>
        <v>Comments</v>
      </c>
      <c r="H55" s="393"/>
      <c r="I55" s="393"/>
      <c r="J55" s="393"/>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8"/>
      <c r="E56" s="399"/>
      <c r="F56" s="59"/>
      <c r="G56" s="382"/>
      <c r="H56" s="383"/>
      <c r="I56" s="383"/>
      <c r="J56" s="38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0" t="s">
        <v>563</v>
      </c>
      <c r="E57" s="381"/>
      <c r="F57" s="59"/>
      <c r="G57" s="382"/>
      <c r="H57" s="383"/>
      <c r="I57" s="383"/>
      <c r="J57" s="38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80"/>
      <c r="E58" s="381"/>
      <c r="F58" s="59"/>
      <c r="G58" s="382"/>
      <c r="H58" s="383"/>
      <c r="I58" s="383"/>
      <c r="J58" s="38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80"/>
      <c r="E59" s="381"/>
      <c r="F59" s="59"/>
      <c r="G59" s="382"/>
      <c r="H59" s="383"/>
      <c r="I59" s="383"/>
      <c r="J59" s="38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00" t="str">
        <f ca="1">D25</f>
        <v>Answer</v>
      </c>
      <c r="E61" s="400"/>
      <c r="F61" s="21"/>
      <c r="G61" s="56" t="str">
        <f ca="1">G25</f>
        <v>Comments</v>
      </c>
      <c r="H61" s="393" t="str">
        <f>IF(Q69="(*)","Click here to enter smelter names","")</f>
        <v/>
      </c>
      <c r="I61" s="393"/>
      <c r="J61" s="393"/>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80"/>
      <c r="E62" s="381"/>
      <c r="F62" s="60"/>
      <c r="G62" s="382"/>
      <c r="H62" s="383"/>
      <c r="I62" s="383"/>
      <c r="J62" s="38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0" t="s">
        <v>563</v>
      </c>
      <c r="E63" s="381"/>
      <c r="F63" s="60"/>
      <c r="G63" s="382"/>
      <c r="H63" s="383"/>
      <c r="I63" s="383"/>
      <c r="J63" s="38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80"/>
      <c r="E64" s="381"/>
      <c r="F64" s="60"/>
      <c r="G64" s="382"/>
      <c r="H64" s="383"/>
      <c r="I64" s="383"/>
      <c r="J64" s="38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80"/>
      <c r="E65" s="381"/>
      <c r="F65" s="62"/>
      <c r="G65" s="382"/>
      <c r="H65" s="383"/>
      <c r="I65" s="383"/>
      <c r="J65" s="38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5" t="str">
        <f ca="1">OFFSET(L!$C$1,MATCH("Declaration"&amp;ADDRESS(ROW(),COLUMN(),4),L!$A:$A,0)-1,SL,,)</f>
        <v>Answer the Following Questions at a Company Level</v>
      </c>
      <c r="C67" s="385"/>
      <c r="D67" s="385"/>
      <c r="E67" s="385"/>
      <c r="F67" s="385"/>
      <c r="G67" s="385"/>
      <c r="H67" s="385"/>
      <c r="I67" s="385"/>
      <c r="J67" s="38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4" t="str">
        <f ca="1">D25</f>
        <v>Answer</v>
      </c>
      <c r="E68" s="394"/>
      <c r="F68" s="65"/>
      <c r="G68" s="394" t="str">
        <f ca="1">G25</f>
        <v>Comments</v>
      </c>
      <c r="H68" s="394" t="e">
        <f>HLOOKUP(SL,LT,$O68,0)</f>
        <v>#NAME?</v>
      </c>
      <c r="I68" s="39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0" t="s">
        <v>563</v>
      </c>
      <c r="E69" s="381"/>
      <c r="F69" s="69"/>
      <c r="G69" s="382"/>
      <c r="H69" s="383"/>
      <c r="I69" s="383"/>
      <c r="J69" s="384"/>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91"/>
      <c r="H70" s="391"/>
      <c r="I70" s="391"/>
      <c r="J70" s="39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0" t="s">
        <v>563</v>
      </c>
      <c r="E71" s="381"/>
      <c r="F71" s="69"/>
      <c r="G71" s="407" t="s">
        <v>15438</v>
      </c>
      <c r="H71" s="408"/>
      <c r="I71" s="408"/>
      <c r="J71" s="409"/>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0" t="s">
        <v>563</v>
      </c>
      <c r="E73" s="381"/>
      <c r="F73" s="69"/>
      <c r="G73" s="382"/>
      <c r="H73" s="383"/>
      <c r="I73" s="383"/>
      <c r="J73" s="384"/>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0" t="s">
        <v>563</v>
      </c>
      <c r="E75" s="381"/>
      <c r="F75" s="69"/>
      <c r="G75" s="382"/>
      <c r="H75" s="383"/>
      <c r="I75" s="383"/>
      <c r="J75" s="384"/>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0" t="s">
        <v>563</v>
      </c>
      <c r="E77" s="381"/>
      <c r="F77" s="69"/>
      <c r="G77" s="382"/>
      <c r="H77" s="383"/>
      <c r="I77" s="383"/>
      <c r="J77" s="384"/>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9" t="s">
        <v>13590</v>
      </c>
      <c r="E79" s="390"/>
      <c r="F79" s="69"/>
      <c r="G79" s="382"/>
      <c r="H79" s="383"/>
      <c r="I79" s="383"/>
      <c r="J79" s="384"/>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91"/>
      <c r="H80" s="391"/>
      <c r="I80" s="391"/>
      <c r="J80" s="39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0" t="s">
        <v>563</v>
      </c>
      <c r="E81" s="381"/>
      <c r="F81" s="69"/>
      <c r="G81" s="382"/>
      <c r="H81" s="383"/>
      <c r="I81" s="383"/>
      <c r="J81" s="384"/>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92"/>
      <c r="H82" s="392"/>
      <c r="I82" s="392"/>
      <c r="J82" s="39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0" t="s">
        <v>564</v>
      </c>
      <c r="E83" s="381"/>
      <c r="F83" s="69"/>
      <c r="G83" s="382"/>
      <c r="H83" s="383"/>
      <c r="I83" s="383"/>
      <c r="J83" s="384"/>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0" t="s">
        <v>564</v>
      </c>
      <c r="E85" s="381"/>
      <c r="F85" s="69"/>
      <c r="G85" s="382"/>
      <c r="H85" s="383"/>
      <c r="I85" s="383"/>
      <c r="J85" s="384"/>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8" t="str">
        <f>IF(OR($D$8="",$I$3=""),"","Click here to check required fields completion")</f>
        <v/>
      </c>
      <c r="C86" s="388"/>
      <c r="D86" s="388"/>
      <c r="E86" s="388"/>
      <c r="F86" s="388"/>
      <c r="G86" s="388"/>
      <c r="H86" s="388"/>
      <c r="I86" s="388"/>
      <c r="J86" s="38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6" t="str">
        <f ca="1">OFFSET(L!$C$1,MATCH("General"&amp;"Cpy",L!$A:$A,0)-1,SL,,)</f>
        <v>© 2018 Responsible Minerals Initiative. All rights reserved.</v>
      </c>
      <c r="B87" s="387"/>
      <c r="C87" s="387"/>
      <c r="D87" s="387"/>
      <c r="E87" s="387"/>
      <c r="F87" s="387"/>
      <c r="G87" s="387"/>
      <c r="H87" s="387"/>
      <c r="I87" s="387"/>
      <c r="J87" s="38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6">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00" priority="57" stopIfTrue="1">
      <formula>AND(OR($D$26="No",AND($D$26="Yes",$D$32="No")),OR($D$27="No",AND($D$27="Yes",$D$33="No")), OR($D$28="No",AND($D$28="Yes",$D$34="No")), OR($D$29="No",AND($D$29="Yes",$D$35="No")))</formula>
    </cfRule>
    <cfRule type="expression" dxfId="99" priority="58" stopIfTrue="1">
      <formula>IF(D69="",TRUE)</formula>
    </cfRule>
  </conditionalFormatting>
  <conditionalFormatting sqref="G71:J71">
    <cfRule type="expression" dxfId="98" priority="29" stopIfTrue="1">
      <formula>IF(AND($D$71="Yes",$G$71=""),TRUE)</formula>
    </cfRule>
  </conditionalFormatting>
  <conditionalFormatting sqref="D26:E26">
    <cfRule type="expression" dxfId="97" priority="109" stopIfTrue="1">
      <formula>IF($D$26="",TRUE)</formula>
    </cfRule>
  </conditionalFormatting>
  <conditionalFormatting sqref="D27:E27">
    <cfRule type="expression" dxfId="96" priority="116" stopIfTrue="1">
      <formula>IF($D$27="",TRUE)</formula>
    </cfRule>
  </conditionalFormatting>
  <conditionalFormatting sqref="D28:E28">
    <cfRule type="expression" dxfId="95" priority="117" stopIfTrue="1">
      <formula>IF($D$28="",TRUE)</formula>
    </cfRule>
  </conditionalFormatting>
  <conditionalFormatting sqref="D29:E29">
    <cfRule type="expression" dxfId="94" priority="118" stopIfTrue="1">
      <formula>IF($D$29="",TRUE)</formula>
    </cfRule>
  </conditionalFormatting>
  <conditionalFormatting sqref="D8:J8">
    <cfRule type="expression" dxfId="93" priority="123" stopIfTrue="1">
      <formula>IF($D$8="",TRUE)</formula>
    </cfRule>
  </conditionalFormatting>
  <conditionalFormatting sqref="D9:G9">
    <cfRule type="expression" dxfId="92" priority="124" stopIfTrue="1">
      <formula>IF($D$9="",TRUE)</formula>
    </cfRule>
  </conditionalFormatting>
  <conditionalFormatting sqref="D22:E22">
    <cfRule type="expression" dxfId="87" priority="131" stopIfTrue="1">
      <formula>IF($D$22="",TRUE)</formula>
    </cfRule>
  </conditionalFormatting>
  <conditionalFormatting sqref="D10:J10">
    <cfRule type="expression" dxfId="86" priority="28" stopIfTrue="1">
      <formula>IF($D$9=$Q$9,TRUE)</formula>
    </cfRule>
    <cfRule type="expression" dxfId="85" priority="138" stopIfTrue="1">
      <formula>IF(AND($D$10="",$D$9=$R$9),TRUE)</formula>
    </cfRule>
  </conditionalFormatting>
  <conditionalFormatting sqref="D34:E34 D40:E40 D46:E46 D52:E52 D58:E58 D64:E64">
    <cfRule type="expression" dxfId="84" priority="21" stopIfTrue="1">
      <formula>$P$28=""</formula>
    </cfRule>
  </conditionalFormatting>
  <conditionalFormatting sqref="D35:E35 D41:E41 D47:E47 D53:E53 D59:E59 D65:E65">
    <cfRule type="expression" dxfId="83" priority="136" stopIfTrue="1">
      <formula>$P$29=""</formula>
    </cfRule>
  </conditionalFormatting>
  <conditionalFormatting sqref="D32:E32">
    <cfRule type="expression" dxfId="82" priority="114" stopIfTrue="1">
      <formula>$P$26=""</formula>
    </cfRule>
  </conditionalFormatting>
  <conditionalFormatting sqref="D32:E32">
    <cfRule type="expression" dxfId="81" priority="27" stopIfTrue="1">
      <formula>IF(AND(OR($D$26="Yes",$D$26=""),$D$32=""),1,0)</formula>
    </cfRule>
  </conditionalFormatting>
  <conditionalFormatting sqref="D38 D44 D50 D56 D62">
    <cfRule type="expression" dxfId="80" priority="23" stopIfTrue="1">
      <formula>$P$32=""</formula>
    </cfRule>
  </conditionalFormatting>
  <conditionalFormatting sqref="D39:E39 D45 D51 D57 D63">
    <cfRule type="expression" dxfId="79" priority="22" stopIfTrue="1">
      <formula>$P$33=""</formula>
    </cfRule>
  </conditionalFormatting>
  <conditionalFormatting sqref="D40 D46 D52 D58 D64">
    <cfRule type="expression" dxfId="78" priority="12" stopIfTrue="1">
      <formula>$P$34=""</formula>
    </cfRule>
    <cfRule type="expression" dxfId="77" priority="134" stopIfTrue="1">
      <formula>IF(AND(OR($D$28="Yes",$D$28=""),D40=""),1,0)</formula>
    </cfRule>
  </conditionalFormatting>
  <conditionalFormatting sqref="D41 D47 D53 D59 D65">
    <cfRule type="expression" dxfId="76" priority="20" stopIfTrue="1">
      <formula>$P$35=""</formula>
    </cfRule>
  </conditionalFormatting>
  <conditionalFormatting sqref="D38:E38 D44:E44 D50:E50 D56:E56 D62:E62">
    <cfRule type="expression" dxfId="75" priority="25" stopIfTrue="1">
      <formula>$P$26=""</formula>
    </cfRule>
    <cfRule type="expression" dxfId="74" priority="26" stopIfTrue="1">
      <formula>IF(AND(OR($D$26="Yes",$D$26=""),D38=""),1,0)</formula>
    </cfRule>
  </conditionalFormatting>
  <conditionalFormatting sqref="G79:J79">
    <cfRule type="expression" dxfId="73" priority="19" stopIfTrue="1">
      <formula>IF(AND($D$79="Yes, using other format (describe)",$G$79=""),TRUE)</formula>
    </cfRule>
  </conditionalFormatting>
  <conditionalFormatting sqref="D39:E39 D45:E45 D51:E51 D57:E57 D63:E63">
    <cfRule type="expression" dxfId="72" priority="132" stopIfTrue="1">
      <formula>$P$39=""</formula>
    </cfRule>
    <cfRule type="expression" dxfId="71" priority="133" stopIfTrue="1">
      <formula>IF(AND(OR($D$27="Yes",$D$27=""),D39=""),1,0)</formula>
    </cfRule>
  </conditionalFormatting>
  <conditionalFormatting sqref="D33:E33">
    <cfRule type="expression" dxfId="70" priority="14" stopIfTrue="1">
      <formula>IF(AND(OR($D$27="Yes",$D$27=""),$D$33=""),1,0)</formula>
    </cfRule>
    <cfRule type="expression" dxfId="69" priority="15" stopIfTrue="1">
      <formula>$P$27=""</formula>
    </cfRule>
  </conditionalFormatting>
  <conditionalFormatting sqref="D34:E34">
    <cfRule type="expression" dxfId="68" priority="135" stopIfTrue="1">
      <formula>IF(AND(OR($D$28="Yes",$D$28=""),$D$34=""),1,0)</formula>
    </cfRule>
  </conditionalFormatting>
  <conditionalFormatting sqref="D41:E41 D47:E47 D53:E53 D59:E59 D65:E65">
    <cfRule type="expression" dxfId="67" priority="137" stopIfTrue="1">
      <formula>IF(AND(OR($D$29="Yes",$D$29=""),D41=""),1,0)</formula>
    </cfRule>
  </conditionalFormatting>
  <conditionalFormatting sqref="D35:E35">
    <cfRule type="expression" dxfId="66" priority="11" stopIfTrue="1">
      <formula>IF(AND(OR($D$29="Yes",$D$29=""),$D$35=""),1,0)</formula>
    </cfRule>
  </conditionalFormatting>
  <conditionalFormatting sqref="D20:J20">
    <cfRule type="expression" dxfId="11" priority="4" stopIfTrue="1">
      <formula>IF($D$20="",TRUE)</formula>
    </cfRule>
  </conditionalFormatting>
  <conditionalFormatting sqref="D21:J21">
    <cfRule type="expression" dxfId="9" priority="5" stopIfTrue="1">
      <formula>IF($D$21="",TRUE)</formula>
    </cfRule>
  </conditionalFormatting>
  <conditionalFormatting sqref="D16:J16">
    <cfRule type="expression" dxfId="7" priority="3" stopIfTrue="1">
      <formula>IF(#REF!="",TRUE)</formula>
    </cfRule>
  </conditionalFormatting>
  <conditionalFormatting sqref="D19:J19">
    <cfRule type="expression" dxfId="5" priority="2" stopIfTrue="1">
      <formula>IF($D$18="",TRUE)</formula>
    </cfRule>
  </conditionalFormatting>
  <conditionalFormatting sqref="D18:J18">
    <cfRule type="expression" dxfId="3" priority="6" stopIfTrue="1">
      <formula>IF($D$16="",TRUE)</formula>
    </cfRule>
  </conditionalFormatting>
  <conditionalFormatting sqref="D17:J17">
    <cfRule type="expression" dxfId="1" priority="1" stopIfTrue="1">
      <formula>IF($D$16="",TRUE)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6" sqref="C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4" t="str">
        <f ca="1">OFFSET(L!$C$1,MATCH("Smelter List"&amp;ADDRESS(ROW(),COLUMN(),4),L!$A:$A,0)-1,SL,,)</f>
        <v>Link to "RMAP Conformant Smelter List"</v>
      </c>
      <c r="K2" s="435"/>
      <c r="L2" s="435"/>
      <c r="M2" s="435"/>
      <c r="N2" s="435"/>
      <c r="O2" s="435"/>
      <c r="P2" s="271"/>
      <c r="Q2" s="272"/>
      <c r="R2" s="273"/>
      <c r="S2" s="273"/>
      <c r="T2" s="273"/>
      <c r="U2" s="203"/>
      <c r="V2" s="203"/>
      <c r="W2" s="204"/>
      <c r="X2" s="203"/>
      <c r="Y2" s="203"/>
      <c r="Z2" s="203"/>
      <c r="AH2" s="184" t="s">
        <v>563</v>
      </c>
    </row>
    <row r="3" spans="1:34" s="25" customFormat="1" ht="274.5" customHeight="1">
      <c r="A3" s="222"/>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4"/>
      <c r="G3" s="437" t="str">
        <f ca="1">OFFSET(L!$C$1,MATCH("General"&amp;"Cpy",L!$A:$A,0)-1,SL,,)</f>
        <v>© 2018 Responsible Minerals Initiative. All rights reserved.</v>
      </c>
      <c r="H3" s="437"/>
      <c r="I3" s="438"/>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345" t="s">
        <v>883</v>
      </c>
      <c r="B5" s="236" t="s">
        <v>1264</v>
      </c>
      <c r="C5" s="346" t="s">
        <v>1162</v>
      </c>
      <c r="D5" s="236"/>
      <c r="E5" s="236" t="s">
        <v>1228</v>
      </c>
      <c r="F5" s="236" t="s">
        <v>883</v>
      </c>
      <c r="G5" s="236" t="s">
        <v>15425</v>
      </c>
      <c r="H5" s="237">
        <v>0</v>
      </c>
      <c r="I5" s="238" t="s">
        <v>2084</v>
      </c>
      <c r="J5" s="238" t="s">
        <v>1954</v>
      </c>
      <c r="K5" s="240"/>
      <c r="L5" s="240"/>
      <c r="M5" s="240"/>
      <c r="N5" s="240"/>
      <c r="O5" s="240"/>
      <c r="P5" s="239"/>
      <c r="Q5" s="241"/>
      <c r="R5" s="236" t="str">
        <f ca="1">IF(ISERROR($V5),"",OFFSET('Smelter Look-up'!$C$4,$V5-4,0)&amp;"")</f>
        <v>Mineracao Taboca S.A.</v>
      </c>
      <c r="S5" s="250" t="str">
        <f t="shared" ref="S5:S58" ca="1" si="0">IF(B5="","",IF(ISERROR(MATCH($E5,CL,0)),"Unknown",INDIRECT("'C'!$A$"&amp;MATCH($E5,CL,0)+1)))</f>
        <v>BR</v>
      </c>
      <c r="T5" s="250" t="str">
        <f ca="1">IF(B5="","",IF(ISERROR(MATCH($J5,SorP!$B$1:$B$6230,0)),"",INDIRECT("'SorP'!$A$"&amp;MATCH($J5,SorP!$B$1:$B$6230,0))))</f>
        <v>BR-SP</v>
      </c>
      <c r="U5" s="280"/>
      <c r="V5" s="281">
        <f>IF(C5="",NA(),MATCH($B5&amp;$C5,'Smelter Look-up'!$J:$J,0))</f>
        <v>426</v>
      </c>
      <c r="W5" s="282"/>
      <c r="X5" s="282">
        <f t="shared" ref="X5:X58" si="1">IF(AND(C5="Smelter not listed",OR(LEN(D5)=0,LEN(E5)=0)),1,0)</f>
        <v>0</v>
      </c>
      <c r="Y5" s="282"/>
      <c r="Z5" s="282"/>
      <c r="AB5" s="284" t="str">
        <f t="shared" ref="AB5:AB58" si="2">B5&amp;C5</f>
        <v>TinMineração Taboca S.A.</v>
      </c>
    </row>
    <row r="6" spans="1:34" s="283" customFormat="1" ht="38.25">
      <c r="A6" s="347" t="s">
        <v>874</v>
      </c>
      <c r="B6" s="348" t="s">
        <v>1264</v>
      </c>
      <c r="C6" s="346" t="s">
        <v>969</v>
      </c>
      <c r="D6" s="348"/>
      <c r="E6" s="348" t="s">
        <v>3151</v>
      </c>
      <c r="F6" s="348" t="s">
        <v>874</v>
      </c>
      <c r="G6" s="348" t="s">
        <v>15425</v>
      </c>
      <c r="H6" s="237">
        <v>0</v>
      </c>
      <c r="I6" s="238" t="s">
        <v>2069</v>
      </c>
      <c r="J6" s="238" t="s">
        <v>2069</v>
      </c>
      <c r="K6" s="240"/>
      <c r="L6" s="240"/>
      <c r="M6" s="240"/>
      <c r="N6" s="240"/>
      <c r="O6" s="240"/>
      <c r="P6" s="239"/>
      <c r="Q6" s="241"/>
      <c r="R6" s="236" t="str">
        <f ca="1">IF(ISERROR($V6),"",OFFSET('Smelter Look-up'!$C$4,$V6-4,0)&amp;"")</f>
        <v>EM Vinto</v>
      </c>
      <c r="S6" s="250" t="str">
        <f t="shared" ca="1" si="0"/>
        <v>BO</v>
      </c>
      <c r="T6" s="250" t="str">
        <f ca="1">IF(B6="","",IF(ISERROR(MATCH($J6,SorP!$B$1:$B$6230,0)),"",INDIRECT("'SorP'!$A$"&amp;MATCH($J6,SorP!$B$1:$B$6230,0))))</f>
        <v>BO-O</v>
      </c>
      <c r="U6" s="280"/>
      <c r="V6" s="281">
        <f>IF(C6="",NA(),MATCH($B6&amp;$C6,'Smelter Look-up'!$J:$J,0))</f>
        <v>380</v>
      </c>
      <c r="W6" s="282"/>
      <c r="X6" s="282">
        <f t="shared" si="1"/>
        <v>0</v>
      </c>
      <c r="Y6" s="282"/>
      <c r="Z6" s="282"/>
      <c r="AB6" s="284" t="str">
        <f t="shared" si="2"/>
        <v>TinEM Vinto</v>
      </c>
    </row>
    <row r="7" spans="1:34" s="283" customFormat="1" ht="76.5">
      <c r="A7" s="347" t="s">
        <v>882</v>
      </c>
      <c r="B7" s="348" t="s">
        <v>1264</v>
      </c>
      <c r="C7" s="346" t="s">
        <v>946</v>
      </c>
      <c r="D7" s="348"/>
      <c r="E7" s="348" t="s">
        <v>1248</v>
      </c>
      <c r="F7" s="348" t="s">
        <v>882</v>
      </c>
      <c r="G7" s="348" t="s">
        <v>15425</v>
      </c>
      <c r="H7" s="237">
        <v>0</v>
      </c>
      <c r="I7" s="238" t="s">
        <v>2081</v>
      </c>
      <c r="J7" s="238" t="s">
        <v>9780</v>
      </c>
      <c r="K7" s="240"/>
      <c r="L7" s="240"/>
      <c r="M7" s="240"/>
      <c r="N7" s="240"/>
      <c r="O7" s="240"/>
      <c r="P7" s="239"/>
      <c r="Q7" s="241"/>
      <c r="R7" s="236" t="str">
        <f ca="1">IF(ISERROR($V7),"",OFFSET('Smelter Look-up'!$C$4,$V7-4,0)&amp;"")</f>
        <v>Malaysia Smelting Corporation (MSC)</v>
      </c>
      <c r="S7" s="250" t="str">
        <f t="shared" ca="1" si="0"/>
        <v>MY</v>
      </c>
      <c r="T7" s="250" t="str">
        <f ca="1">IF(B7="","",IF(ISERROR(MATCH($J7,SorP!$B$1:$B$6230,0)),"",INDIRECT("'SorP'!$A$"&amp;MATCH($J7,SorP!$B$1:$B$6230,0))))</f>
        <v>MY-07</v>
      </c>
      <c r="U7" s="280"/>
      <c r="V7" s="281">
        <f>IF(C7="",NA(),MATCH($B7&amp;$C7,'Smelter Look-up'!$J:$J,0))</f>
        <v>418</v>
      </c>
      <c r="W7" s="282"/>
      <c r="X7" s="282">
        <f t="shared" si="1"/>
        <v>0</v>
      </c>
      <c r="Y7" s="282"/>
      <c r="Z7" s="282"/>
      <c r="AB7" s="284" t="str">
        <f t="shared" si="2"/>
        <v>TinMalaysia Smelting Corporation (MSC)</v>
      </c>
    </row>
    <row r="8" spans="1:34" s="283" customFormat="1" ht="25.5">
      <c r="A8" s="347" t="s">
        <v>908</v>
      </c>
      <c r="B8" s="348" t="s">
        <v>1264</v>
      </c>
      <c r="C8" s="346" t="s">
        <v>1160</v>
      </c>
      <c r="D8" s="348"/>
      <c r="E8" s="348" t="s">
        <v>1016</v>
      </c>
      <c r="F8" s="348" t="s">
        <v>908</v>
      </c>
      <c r="G8" s="348" t="s">
        <v>15425</v>
      </c>
      <c r="H8" s="237">
        <v>0</v>
      </c>
      <c r="I8" s="238" t="s">
        <v>2103</v>
      </c>
      <c r="J8" s="238" t="s">
        <v>2104</v>
      </c>
      <c r="K8" s="240"/>
      <c r="L8" s="240"/>
      <c r="M8" s="240"/>
      <c r="N8" s="240"/>
      <c r="O8" s="240"/>
      <c r="P8" s="239"/>
      <c r="Q8" s="241"/>
      <c r="R8" s="236" t="str">
        <f ca="1">IF(ISERROR($V8),"",OFFSET('Smelter Look-up'!$C$4,$V8-4,0)&amp;"")</f>
        <v>Thaisarco</v>
      </c>
      <c r="S8" s="250" t="str">
        <f t="shared" ca="1" si="0"/>
        <v>TH</v>
      </c>
      <c r="T8" s="250" t="str">
        <f ca="1">IF(B8="","",IF(ISERROR(MATCH($J8,SorP!$B$1:$B$6230,0)),"",INDIRECT("'SorP'!$A$"&amp;MATCH($J8,SorP!$B$1:$B$6230,0))))</f>
        <v>TH-83</v>
      </c>
      <c r="U8" s="280"/>
      <c r="V8" s="281">
        <f>IF(C8="",NA(),MATCH($B8&amp;$C8,'Smelter Look-up'!$J:$J,0))</f>
        <v>483</v>
      </c>
      <c r="W8" s="282"/>
      <c r="X8" s="282">
        <f t="shared" si="1"/>
        <v>0</v>
      </c>
      <c r="Y8" s="282"/>
      <c r="Z8" s="282"/>
      <c r="AB8" s="284" t="str">
        <f t="shared" si="2"/>
        <v>TinThaisarco</v>
      </c>
    </row>
    <row r="9" spans="1:34" s="283" customFormat="1" ht="63.75">
      <c r="A9" s="347" t="s">
        <v>926</v>
      </c>
      <c r="B9" s="348" t="s">
        <v>1264</v>
      </c>
      <c r="C9" s="346" t="s">
        <v>2098</v>
      </c>
      <c r="D9" s="348"/>
      <c r="E9" s="348" t="s">
        <v>1238</v>
      </c>
      <c r="F9" s="348" t="s">
        <v>926</v>
      </c>
      <c r="G9" s="348" t="s">
        <v>15425</v>
      </c>
      <c r="H9" s="237">
        <v>0</v>
      </c>
      <c r="I9" s="238" t="s">
        <v>2099</v>
      </c>
      <c r="J9" s="238" t="s">
        <v>6949</v>
      </c>
      <c r="K9" s="240"/>
      <c r="L9" s="240"/>
      <c r="M9" s="240"/>
      <c r="N9" s="240"/>
      <c r="O9" s="240"/>
      <c r="P9" s="239"/>
      <c r="Q9" s="241"/>
      <c r="R9" s="236" t="str">
        <f ca="1">IF(ISERROR($V9),"",OFFSET('Smelter Look-up'!$C$4,$V9-4,0)&amp;"")</f>
        <v>PT Timah (Persero) Tbk Kundur</v>
      </c>
      <c r="S9" s="250" t="str">
        <f t="shared" ca="1" si="0"/>
        <v>ID</v>
      </c>
      <c r="T9" s="250" t="str">
        <f ca="1">IF(B9="","",IF(ISERROR(MATCH($J9,SorP!$B$1:$B$6230,0)),"",INDIRECT("'SorP'!$A$"&amp;MATCH($J9,SorP!$B$1:$B$6230,0))))</f>
        <v>ID-RI</v>
      </c>
      <c r="U9" s="280"/>
      <c r="V9" s="281">
        <f>IF(C9="",NA(),MATCH($B9&amp;$C9,'Smelter Look-up'!$J:$J,0))</f>
        <v>469</v>
      </c>
      <c r="W9" s="282"/>
      <c r="X9" s="282">
        <f t="shared" si="1"/>
        <v>0</v>
      </c>
      <c r="Y9" s="282"/>
      <c r="Z9" s="282"/>
      <c r="AB9" s="284" t="str">
        <f t="shared" si="2"/>
        <v>TinPT Timah (Persero) Tbk Kundur</v>
      </c>
    </row>
    <row r="10" spans="1:34" s="283" customFormat="1" ht="63.75">
      <c r="A10" s="347" t="s">
        <v>903</v>
      </c>
      <c r="B10" s="348" t="s">
        <v>1264</v>
      </c>
      <c r="C10" s="346" t="s">
        <v>2685</v>
      </c>
      <c r="D10" s="348"/>
      <c r="E10" s="348" t="s">
        <v>1238</v>
      </c>
      <c r="F10" s="348" t="s">
        <v>903</v>
      </c>
      <c r="G10" s="348" t="s">
        <v>15425</v>
      </c>
      <c r="H10" s="237">
        <v>0</v>
      </c>
      <c r="I10" s="238" t="s">
        <v>2101</v>
      </c>
      <c r="J10" s="238" t="s">
        <v>14221</v>
      </c>
      <c r="K10" s="240"/>
      <c r="L10" s="240"/>
      <c r="M10" s="240"/>
      <c r="N10" s="240"/>
      <c r="O10" s="240"/>
      <c r="P10" s="239"/>
      <c r="Q10" s="241"/>
      <c r="R10" s="236" t="str">
        <f ca="1">IF(ISERROR($V10),"",OFFSET('Smelter Look-up'!$C$4,$V10-4,0)&amp;"")</f>
        <v>PT Timah (Persero) Tbk Mentok</v>
      </c>
      <c r="S10" s="250" t="str">
        <f t="shared" ca="1" si="0"/>
        <v>ID</v>
      </c>
      <c r="T10" s="250" t="str">
        <f ca="1">IF(B10="","",IF(ISERROR(MATCH($J10,SorP!$B$1:$B$6230,0)),"",INDIRECT("'SorP'!$A$"&amp;MATCH($J10,SorP!$B$1:$B$6230,0))))</f>
        <v>ID-BB</v>
      </c>
      <c r="U10" s="280"/>
      <c r="V10" s="281">
        <f>IF(C10="",NA(),MATCH($B10&amp;$C10,'Smelter Look-up'!$J:$J,0))</f>
        <v>470</v>
      </c>
      <c r="W10" s="282"/>
      <c r="X10" s="282">
        <f t="shared" si="1"/>
        <v>0</v>
      </c>
      <c r="Y10" s="282"/>
      <c r="Z10" s="282"/>
      <c r="AB10" s="284" t="str">
        <f t="shared" si="2"/>
        <v>TinPT Timah (Persero) Tbk Mentok</v>
      </c>
    </row>
    <row r="11" spans="1:34" s="283" customFormat="1" ht="51">
      <c r="A11" s="347" t="s">
        <v>2125</v>
      </c>
      <c r="B11" s="348" t="s">
        <v>1264</v>
      </c>
      <c r="C11" s="346" t="s">
        <v>14316</v>
      </c>
      <c r="D11" s="348"/>
      <c r="E11" s="348" t="s">
        <v>1227</v>
      </c>
      <c r="F11" s="348" t="s">
        <v>2125</v>
      </c>
      <c r="G11" s="348" t="s">
        <v>15425</v>
      </c>
      <c r="H11" s="237">
        <v>0</v>
      </c>
      <c r="I11" s="238" t="s">
        <v>2126</v>
      </c>
      <c r="J11" s="238" t="s">
        <v>3919</v>
      </c>
      <c r="K11" s="240"/>
      <c r="L11" s="240"/>
      <c r="M11" s="240"/>
      <c r="N11" s="240"/>
      <c r="O11" s="240"/>
      <c r="P11" s="239"/>
      <c r="Q11" s="241"/>
      <c r="R11" s="236" t="str">
        <f ca="1">IF(ISERROR($V11),"",OFFSET('Smelter Look-up'!$C$4,$V11-4,0)&amp;"")</f>
        <v>Metallo Belgium N.V.</v>
      </c>
      <c r="S11" s="250" t="str">
        <f t="shared" ca="1" si="0"/>
        <v>BE</v>
      </c>
      <c r="T11" s="250" t="str">
        <f ca="1">IF(B11="","",IF(ISERROR(MATCH($J11,SorP!$B$1:$B$6230,0)),"",INDIRECT("'SorP'!$A$"&amp;MATCH($J11,SorP!$B$1:$B$6230,0))))</f>
        <v>BE-VAN</v>
      </c>
      <c r="U11" s="280"/>
      <c r="V11" s="281">
        <f>IF(C11="",NA(),MATCH($B11&amp;$C11,'Smelter Look-up'!$J:$J,0))</f>
        <v>423</v>
      </c>
      <c r="W11" s="282"/>
      <c r="X11" s="282">
        <f t="shared" si="1"/>
        <v>0</v>
      </c>
      <c r="Y11" s="282"/>
      <c r="Z11" s="282"/>
      <c r="AB11" s="284" t="str">
        <f t="shared" si="2"/>
        <v>TinMetallo Belgium N.V.</v>
      </c>
    </row>
    <row r="12" spans="1:34" s="283" customFormat="1" ht="51">
      <c r="A12" s="347" t="s">
        <v>897</v>
      </c>
      <c r="B12" s="348" t="s">
        <v>1264</v>
      </c>
      <c r="C12" s="346" t="s">
        <v>723</v>
      </c>
      <c r="D12" s="348"/>
      <c r="E12" s="348" t="s">
        <v>1238</v>
      </c>
      <c r="F12" s="348" t="s">
        <v>897</v>
      </c>
      <c r="G12" s="348" t="s">
        <v>15425</v>
      </c>
      <c r="H12" s="237">
        <v>0</v>
      </c>
      <c r="I12" s="238" t="s">
        <v>2065</v>
      </c>
      <c r="J12" s="238" t="s">
        <v>14221</v>
      </c>
      <c r="K12" s="240"/>
      <c r="L12" s="240"/>
      <c r="M12" s="240"/>
      <c r="N12" s="240"/>
      <c r="O12" s="240"/>
      <c r="P12" s="239"/>
      <c r="Q12" s="241"/>
      <c r="R12" s="236" t="str">
        <f ca="1">IF(ISERROR($V12),"",OFFSET('Smelter Look-up'!$C$4,$V12-4,0)&amp;"")</f>
        <v>PT Mitra Stania Prima</v>
      </c>
      <c r="S12" s="250" t="str">
        <f t="shared" ca="1" si="0"/>
        <v>ID</v>
      </c>
      <c r="T12" s="250" t="str">
        <f ca="1">IF(B12="","",IF(ISERROR(MATCH($J12,SorP!$B$1:$B$6230,0)),"",INDIRECT("'SorP'!$A$"&amp;MATCH($J12,SorP!$B$1:$B$6230,0))))</f>
        <v>ID-BB</v>
      </c>
      <c r="U12" s="280"/>
      <c r="V12" s="281">
        <f>IF(C12="",NA(),MATCH($B12&amp;$C12,'Smelter Look-up'!$J:$J,0))</f>
        <v>459</v>
      </c>
      <c r="W12" s="282"/>
      <c r="X12" s="282">
        <f t="shared" si="1"/>
        <v>0</v>
      </c>
      <c r="Y12" s="282"/>
      <c r="Z12" s="282"/>
      <c r="AB12" s="284" t="str">
        <f t="shared" si="2"/>
        <v>TinPT Mitra Stania Prima</v>
      </c>
    </row>
    <row r="13" spans="1:34" s="283" customFormat="1" ht="51">
      <c r="A13" s="347" t="s">
        <v>904</v>
      </c>
      <c r="B13" s="348" t="s">
        <v>1264</v>
      </c>
      <c r="C13" s="346" t="s">
        <v>605</v>
      </c>
      <c r="D13" s="348"/>
      <c r="E13" s="348" t="s">
        <v>1238</v>
      </c>
      <c r="F13" s="348" t="s">
        <v>904</v>
      </c>
      <c r="G13" s="348" t="s">
        <v>15425</v>
      </c>
      <c r="H13" s="237">
        <v>0</v>
      </c>
      <c r="I13" s="238" t="s">
        <v>2067</v>
      </c>
      <c r="J13" s="238" t="s">
        <v>14221</v>
      </c>
      <c r="K13" s="240"/>
      <c r="L13" s="240"/>
      <c r="M13" s="240"/>
      <c r="N13" s="240"/>
      <c r="O13" s="240"/>
      <c r="P13" s="239"/>
      <c r="Q13" s="241"/>
      <c r="R13" s="236" t="str">
        <f ca="1">IF(ISERROR($V13),"",OFFSET('Smelter Look-up'!$C$4,$V13-4,0)&amp;"")</f>
        <v>PT Tinindo Inter Nusa</v>
      </c>
      <c r="S13" s="250" t="str">
        <f t="shared" ca="1" si="0"/>
        <v>ID</v>
      </c>
      <c r="T13" s="250" t="str">
        <f ca="1">IF(B13="","",IF(ISERROR(MATCH($J13,SorP!$B$1:$B$6230,0)),"",INDIRECT("'SorP'!$A$"&amp;MATCH($J13,SorP!$B$1:$B$6230,0))))</f>
        <v>ID-BB</v>
      </c>
      <c r="U13" s="280"/>
      <c r="V13" s="281">
        <f>IF(C13="",NA(),MATCH($B13&amp;$C13,'Smelter Look-up'!$J:$J,0))</f>
        <v>471</v>
      </c>
      <c r="W13" s="282"/>
      <c r="X13" s="282">
        <f t="shared" si="1"/>
        <v>0</v>
      </c>
      <c r="Y13" s="282"/>
      <c r="Z13" s="282"/>
      <c r="AB13" s="284" t="str">
        <f t="shared" si="2"/>
        <v>TinPT Tinindo Inter Nusa</v>
      </c>
    </row>
    <row r="14" spans="1:34" s="283" customFormat="1" ht="76.5">
      <c r="A14" s="347" t="s">
        <v>909</v>
      </c>
      <c r="B14" s="348" t="s">
        <v>1264</v>
      </c>
      <c r="C14" s="346" t="s">
        <v>3291</v>
      </c>
      <c r="D14" s="348"/>
      <c r="E14" s="348" t="s">
        <v>1228</v>
      </c>
      <c r="F14" s="348" t="s">
        <v>909</v>
      </c>
      <c r="G14" s="348" t="s">
        <v>15425</v>
      </c>
      <c r="H14" s="237">
        <v>0</v>
      </c>
      <c r="I14" s="238" t="s">
        <v>2064</v>
      </c>
      <c r="J14" s="238" t="s">
        <v>2070</v>
      </c>
      <c r="K14" s="240"/>
      <c r="L14" s="240"/>
      <c r="M14" s="240"/>
      <c r="N14" s="240"/>
      <c r="O14" s="240"/>
      <c r="P14" s="239"/>
      <c r="Q14" s="241"/>
      <c r="R14" s="236" t="str">
        <f ca="1">IF(ISERROR($V14),"",OFFSET('Smelter Look-up'!$C$4,$V14-4,0)&amp;"")</f>
        <v>White Solder Metalurgia e Mineracao Ltda.</v>
      </c>
      <c r="S14" s="250" t="str">
        <f t="shared" ca="1" si="0"/>
        <v>BR</v>
      </c>
      <c r="T14" s="250" t="str">
        <f ca="1">IF(B14="","",IF(ISERROR(MATCH($J14,SorP!$B$1:$B$6230,0)),"",INDIRECT("'SorP'!$A$"&amp;MATCH($J14,SorP!$B$1:$B$6230,0))))</f>
        <v>BR-RO</v>
      </c>
      <c r="U14" s="280"/>
      <c r="V14" s="281">
        <f>IF(C14="",NA(),MATCH($B14&amp;$C14,'Smelter Look-up'!$J:$J,0))</f>
        <v>490</v>
      </c>
      <c r="W14" s="282"/>
      <c r="X14" s="282">
        <f t="shared" si="1"/>
        <v>0</v>
      </c>
      <c r="Y14" s="282"/>
      <c r="Z14" s="282"/>
      <c r="AB14" s="284" t="str">
        <f t="shared" si="2"/>
        <v>TinWhite Solder Metalurgia e Mineracao Ltda.</v>
      </c>
    </row>
    <row r="15" spans="1:34" s="283" customFormat="1" ht="25.5">
      <c r="A15" s="349" t="s">
        <v>884</v>
      </c>
      <c r="B15" s="348" t="s">
        <v>1264</v>
      </c>
      <c r="C15" s="346" t="s">
        <v>1163</v>
      </c>
      <c r="D15" s="348"/>
      <c r="E15" s="348" t="s">
        <v>1008</v>
      </c>
      <c r="F15" s="348" t="s">
        <v>884</v>
      </c>
      <c r="G15" s="348" t="s">
        <v>15425</v>
      </c>
      <c r="H15" s="237">
        <v>0</v>
      </c>
      <c r="I15" s="238" t="s">
        <v>2086</v>
      </c>
      <c r="J15" s="238" t="s">
        <v>10243</v>
      </c>
      <c r="K15" s="240"/>
      <c r="L15" s="240"/>
      <c r="M15" s="240"/>
      <c r="N15" s="240"/>
      <c r="O15" s="240"/>
      <c r="P15" s="239"/>
      <c r="Q15" s="241"/>
      <c r="R15" s="236" t="str">
        <f ca="1">IF(ISERROR($V15),"",OFFSET('Smelter Look-up'!$C$4,$V15-4,0)&amp;"")</f>
        <v>Minsur</v>
      </c>
      <c r="S15" s="250" t="str">
        <f t="shared" ca="1" si="0"/>
        <v>PE</v>
      </c>
      <c r="T15" s="250" t="str">
        <f ca="1">IF(B15="","",IF(ISERROR(MATCH($J15,SorP!$B$1:$B$6230,0)),"",INDIRECT("'SorP'!$A$"&amp;MATCH($J15,SorP!$B$1:$B$6230,0))))</f>
        <v>PE-ICA</v>
      </c>
      <c r="U15" s="280"/>
      <c r="V15" s="281">
        <f>IF(C15="",NA(),MATCH($B15&amp;$C15,'Smelter Look-up'!$J:$J,0))</f>
        <v>428</v>
      </c>
      <c r="W15" s="282"/>
      <c r="X15" s="282">
        <f t="shared" si="1"/>
        <v>0</v>
      </c>
      <c r="Y15" s="282"/>
      <c r="Z15" s="282"/>
      <c r="AB15" s="284" t="str">
        <f t="shared" si="2"/>
        <v>TinMinsur</v>
      </c>
    </row>
    <row r="16" spans="1:34" s="283" customFormat="1" ht="51">
      <c r="A16" s="349" t="s">
        <v>2696</v>
      </c>
      <c r="B16" s="348" t="s">
        <v>1264</v>
      </c>
      <c r="C16" s="346" t="s">
        <v>2695</v>
      </c>
      <c r="D16" s="348"/>
      <c r="E16" s="348" t="s">
        <v>1238</v>
      </c>
      <c r="F16" s="348" t="s">
        <v>2696</v>
      </c>
      <c r="G16" s="348" t="s">
        <v>15425</v>
      </c>
      <c r="H16" s="237">
        <v>0</v>
      </c>
      <c r="I16" s="238" t="s">
        <v>14329</v>
      </c>
      <c r="J16" s="238" t="s">
        <v>14221</v>
      </c>
      <c r="K16" s="240"/>
      <c r="L16" s="240"/>
      <c r="M16" s="240"/>
      <c r="N16" s="240"/>
      <c r="O16" s="240"/>
      <c r="P16" s="239"/>
      <c r="Q16" s="241"/>
      <c r="R16" s="236" t="str">
        <f ca="1">IF(ISERROR($V16),"",OFFSET('Smelter Look-up'!$C$4,$V16-4,0)&amp;"")</f>
        <v>PT Bangka Prima Tin</v>
      </c>
      <c r="S16" s="250" t="str">
        <f t="shared" ca="1" si="0"/>
        <v>ID</v>
      </c>
      <c r="T16" s="250" t="str">
        <f ca="1">IF(B16="","",IF(ISERROR(MATCH($J16,SorP!$B$1:$B$6230,0)),"",INDIRECT("'SorP'!$A$"&amp;MATCH($J16,SorP!$B$1:$B$6230,0))))</f>
        <v>ID-BB</v>
      </c>
      <c r="U16" s="280"/>
      <c r="V16" s="281">
        <f>IF(C16="",NA(),MATCH($B16&amp;$C16,'Smelter Look-up'!$J:$J,0))</f>
        <v>445</v>
      </c>
      <c r="W16" s="282"/>
      <c r="X16" s="282">
        <f t="shared" si="1"/>
        <v>0</v>
      </c>
      <c r="Y16" s="282"/>
      <c r="Z16" s="282"/>
      <c r="AB16" s="284" t="str">
        <f t="shared" si="2"/>
        <v>TinPT Bangka Prima Tin</v>
      </c>
    </row>
    <row r="17" spans="1:28" s="283" customFormat="1" ht="51">
      <c r="A17" s="349" t="s">
        <v>1560</v>
      </c>
      <c r="B17" s="348" t="s">
        <v>1264</v>
      </c>
      <c r="C17" s="346" t="s">
        <v>1559</v>
      </c>
      <c r="D17" s="348"/>
      <c r="E17" s="348" t="s">
        <v>1238</v>
      </c>
      <c r="F17" s="348" t="s">
        <v>1560</v>
      </c>
      <c r="G17" s="348" t="s">
        <v>15425</v>
      </c>
      <c r="H17" s="237">
        <v>0</v>
      </c>
      <c r="I17" s="238" t="s">
        <v>2067</v>
      </c>
      <c r="J17" s="238" t="s">
        <v>14221</v>
      </c>
      <c r="K17" s="240"/>
      <c r="L17" s="240"/>
      <c r="M17" s="240"/>
      <c r="N17" s="240"/>
      <c r="O17" s="240"/>
      <c r="P17" s="239"/>
      <c r="Q17" s="241"/>
      <c r="R17" s="236" t="str">
        <f ca="1">IF(ISERROR($V17),"",OFFSET('Smelter Look-up'!$C$4,$V17-4,0)&amp;"")</f>
        <v>CV Venus Inti Perkasa</v>
      </c>
      <c r="S17" s="250" t="str">
        <f t="shared" ca="1" si="0"/>
        <v>ID</v>
      </c>
      <c r="T17" s="250" t="str">
        <f ca="1">IF(B17="","",IF(ISERROR(MATCH($J17,SorP!$B$1:$B$6230,0)),"",INDIRECT("'SorP'!$A$"&amp;MATCH($J17,SorP!$B$1:$B$6230,0))))</f>
        <v>ID-BB</v>
      </c>
      <c r="U17" s="280"/>
      <c r="V17" s="281">
        <f>IF(C17="",NA(),MATCH($B17&amp;$C17,'Smelter Look-up'!$J:$J,0))</f>
        <v>376</v>
      </c>
      <c r="W17" s="282"/>
      <c r="X17" s="282">
        <f t="shared" si="1"/>
        <v>0</v>
      </c>
      <c r="Y17" s="282"/>
      <c r="Z17" s="282"/>
      <c r="AB17" s="284" t="str">
        <f t="shared" si="2"/>
        <v>TinCV Venus Inti Perkasa</v>
      </c>
    </row>
    <row r="18" spans="1:28" s="283" customFormat="1" ht="25.5">
      <c r="A18" s="348" t="s">
        <v>906</v>
      </c>
      <c r="B18" s="348" t="s">
        <v>1264</v>
      </c>
      <c r="C18" s="346" t="s">
        <v>905</v>
      </c>
      <c r="D18" s="348"/>
      <c r="E18" s="348" t="s">
        <v>3152</v>
      </c>
      <c r="F18" s="348" t="s">
        <v>906</v>
      </c>
      <c r="G18" s="348" t="s">
        <v>15425</v>
      </c>
      <c r="H18" s="237">
        <v>0</v>
      </c>
      <c r="I18" s="238" t="s">
        <v>15426</v>
      </c>
      <c r="J18" s="238" t="s">
        <v>15427</v>
      </c>
      <c r="K18" s="240"/>
      <c r="L18" s="240"/>
      <c r="M18" s="240"/>
      <c r="N18" s="240"/>
      <c r="O18" s="240"/>
      <c r="P18" s="239"/>
      <c r="Q18" s="241"/>
      <c r="R18" s="236" t="str">
        <f ca="1">IF(ISERROR($V18),"",OFFSET('Smelter Look-up'!$C$4,$V18-4,0)&amp;"")</f>
        <v>Rui Da Hung</v>
      </c>
      <c r="S18" s="250" t="str">
        <f t="shared" ca="1" si="0"/>
        <v>TW</v>
      </c>
      <c r="T18" s="250" t="str">
        <f ca="1">IF(B18="","",IF(ISERROR(MATCH($J18,SorP!$B$1:$B$6230,0)),"",INDIRECT("'SorP'!$A$"&amp;MATCH($J18,SorP!$B$1:$B$6230,0))))</f>
        <v/>
      </c>
      <c r="U18" s="280"/>
      <c r="V18" s="281">
        <f>IF(C18="",NA(),MATCH($B18&amp;$C18,'Smelter Look-up'!$J:$J,0))</f>
        <v>476</v>
      </c>
      <c r="W18" s="282"/>
      <c r="X18" s="282">
        <f t="shared" si="1"/>
        <v>0</v>
      </c>
      <c r="Y18" s="282"/>
      <c r="Z18" s="282"/>
      <c r="AB18" s="284" t="str">
        <f t="shared" si="2"/>
        <v>TinRui Da Hung</v>
      </c>
    </row>
    <row r="19" spans="1:28" s="283" customFormat="1" ht="38.25">
      <c r="A19" s="349" t="s">
        <v>894</v>
      </c>
      <c r="B19" s="348" t="s">
        <v>1264</v>
      </c>
      <c r="C19" s="346" t="s">
        <v>703</v>
      </c>
      <c r="D19" s="348"/>
      <c r="E19" s="348" t="s">
        <v>1238</v>
      </c>
      <c r="F19" s="348" t="s">
        <v>894</v>
      </c>
      <c r="G19" s="348" t="s">
        <v>15425</v>
      </c>
      <c r="H19" s="237">
        <v>0</v>
      </c>
      <c r="I19" s="238" t="s">
        <v>2067</v>
      </c>
      <c r="J19" s="238" t="s">
        <v>14221</v>
      </c>
      <c r="K19" s="240"/>
      <c r="L19" s="240"/>
      <c r="M19" s="240"/>
      <c r="N19" s="240"/>
      <c r="O19" s="240"/>
      <c r="P19" s="239"/>
      <c r="Q19" s="241"/>
      <c r="R19" s="236" t="str">
        <f ca="1">IF(ISERROR($V19),"",OFFSET('Smelter Look-up'!$C$4,$V19-4,0)&amp;"")</f>
        <v>PT DS Jaya Abadi</v>
      </c>
      <c r="S19" s="250" t="str">
        <f t="shared" ca="1" si="0"/>
        <v>ID</v>
      </c>
      <c r="T19" s="250" t="str">
        <f ca="1">IF(B19="","",IF(ISERROR(MATCH($J19,SorP!$B$1:$B$6230,0)),"",INDIRECT("'SorP'!$A$"&amp;MATCH($J19,SorP!$B$1:$B$6230,0))))</f>
        <v>ID-BB</v>
      </c>
      <c r="U19" s="280"/>
      <c r="V19" s="281">
        <f>IF(C19="",NA(),MATCH($B19&amp;$C19,'Smelter Look-up'!$J:$J,0))</f>
        <v>450</v>
      </c>
      <c r="W19" s="282"/>
      <c r="X19" s="282">
        <f t="shared" si="1"/>
        <v>0</v>
      </c>
      <c r="Y19" s="282"/>
      <c r="Z19" s="282"/>
      <c r="AB19" s="284" t="str">
        <f t="shared" si="2"/>
        <v>TinPT DS Jaya Abadi</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20:B2493">
    <cfRule type="expression" dxfId="63" priority="36" stopIfTrue="1">
      <formula>IF(B20="",TRUE)</formula>
    </cfRule>
    <cfRule type="expression" dxfId="62" priority="47" stopIfTrue="1">
      <formula>IF(AND(COUNTIF(MetalSmelter,B20&amp;C20)=0,LEN(C20)&gt;0), TRUE, FALSE)</formula>
    </cfRule>
  </conditionalFormatting>
  <conditionalFormatting sqref="D20:D2493">
    <cfRule type="expression" dxfId="61" priority="30" stopIfTrue="1">
      <formula>IF(AND(LEN($C20) &gt;0, ($C20 &lt;&gt; "Smelter Not Listed")),1,0)</formula>
    </cfRule>
    <cfRule type="expression" dxfId="60" priority="55" stopIfTrue="1">
      <formula>IF(AND(D20="",$C20=$X$4),TRUE)</formula>
    </cfRule>
    <cfRule type="expression" dxfId="59" priority="56" stopIfTrue="1">
      <formula>IF(FIND("!",D20),TRUE)</formula>
    </cfRule>
  </conditionalFormatting>
  <conditionalFormatting sqref="G20:G2493">
    <cfRule type="expression" dxfId="58" priority="57" stopIfTrue="1">
      <formula>IF(FIND("Enter smelter details",G20),TRUE)</formula>
    </cfRule>
  </conditionalFormatting>
  <conditionalFormatting sqref="E20:E2493 R5:R2494">
    <cfRule type="expression" dxfId="57" priority="43" stopIfTrue="1">
      <formula>IF(AND(E5="",$C5=$X$4),TRUE)</formula>
    </cfRule>
    <cfRule type="expression" dxfId="56" priority="44" stopIfTrue="1">
      <formula>IF(FIND("!",E5),TRUE)</formula>
    </cfRule>
  </conditionalFormatting>
  <conditionalFormatting sqref="F20:F2493">
    <cfRule type="expression" dxfId="55" priority="34" stopIfTrue="1">
      <formula>IF(AND(LEN($A20)&gt;0,$A20&lt;&gt;$F20),TRUE,FALSE)</formula>
    </cfRule>
  </conditionalFormatting>
  <conditionalFormatting sqref="C20:C2493">
    <cfRule type="expression" dxfId="54" priority="33" stopIfTrue="1">
      <formula>IF(AND(B20&lt;&gt;"",C20=""),TRUE)</formula>
    </cfRule>
  </conditionalFormatting>
  <conditionalFormatting sqref="B5:B19">
    <cfRule type="expression" dxfId="53" priority="12" stopIfTrue="1">
      <formula>IF(B5="",TRUE)</formula>
    </cfRule>
    <cfRule type="expression" dxfId="52" priority="15" stopIfTrue="1">
      <formula>IF(AND(COUNTIF(MetalSmelter,B5&amp;C5)=0,LEN(C5)&gt;0), TRUE, FALSE)</formula>
    </cfRule>
  </conditionalFormatting>
  <conditionalFormatting sqref="D5 D7:D19">
    <cfRule type="expression" dxfId="51" priority="9" stopIfTrue="1">
      <formula>IF(AND(LEN($C5) &gt;0, ($C5 &lt;&gt; "Smelter Not Listed")),1,0)</formula>
    </cfRule>
    <cfRule type="expression" dxfId="50" priority="16" stopIfTrue="1">
      <formula>IF(AND(D5="",$C5=$X$4),TRUE)</formula>
    </cfRule>
    <cfRule type="expression" dxfId="49" priority="17" stopIfTrue="1">
      <formula>IF(FIND("!",D5),TRUE)</formula>
    </cfRule>
  </conditionalFormatting>
  <conditionalFormatting sqref="G5 G7:G19">
    <cfRule type="expression" dxfId="48" priority="18" stopIfTrue="1">
      <formula>IF(FIND("Enter smelter details",G5),TRUE)</formula>
    </cfRule>
  </conditionalFormatting>
  <conditionalFormatting sqref="E7:E19">
    <cfRule type="expression" dxfId="47" priority="13" stopIfTrue="1">
      <formula>IF(AND(E7="",$C7=$X$4),TRUE)</formula>
    </cfRule>
    <cfRule type="expression" dxfId="46" priority="14" stopIfTrue="1">
      <formula>IF(FIND("!",E7),TRUE)</formula>
    </cfRule>
  </conditionalFormatting>
  <conditionalFormatting sqref="F5 F7:F19">
    <cfRule type="expression" dxfId="45" priority="11" stopIfTrue="1">
      <formula>IF(AND(LEN($A5)&gt;0,$A5&lt;&gt;$F5),TRUE,FALSE)</formula>
    </cfRule>
  </conditionalFormatting>
  <conditionalFormatting sqref="C5:C19">
    <cfRule type="expression" dxfId="44" priority="10" stopIfTrue="1">
      <formula>IF(AND(B5&lt;&gt;"",C5=""),TRUE)</formula>
    </cfRule>
  </conditionalFormatting>
  <conditionalFormatting sqref="D6">
    <cfRule type="expression" dxfId="43" priority="2" stopIfTrue="1">
      <formula>IF(AND(LEN($C6) &gt;0, ($C6 &lt;&gt; "Smelter Not Listed")),1,0)</formula>
    </cfRule>
    <cfRule type="expression" dxfId="42" priority="6" stopIfTrue="1">
      <formula>IF(AND(D6="",$C6=$X$4),TRUE)</formula>
    </cfRule>
    <cfRule type="expression" dxfId="41" priority="7" stopIfTrue="1">
      <formula>IF(FIND("!",D6),TRUE)</formula>
    </cfRule>
  </conditionalFormatting>
  <conditionalFormatting sqref="G6">
    <cfRule type="expression" dxfId="40" priority="8" stopIfTrue="1">
      <formula>IF(FIND("Enter smelter details",G6),TRUE)</formula>
    </cfRule>
  </conditionalFormatting>
  <conditionalFormatting sqref="E5:E6">
    <cfRule type="expression" dxfId="39" priority="4" stopIfTrue="1">
      <formula>IF(AND(E5="",$C5=$X$4),TRUE)</formula>
    </cfRule>
    <cfRule type="expression" dxfId="38" priority="5" stopIfTrue="1">
      <formula>IF(FIND("!",E5),TRUE)</formula>
    </cfRule>
  </conditionalFormatting>
  <conditionalFormatting sqref="F6">
    <cfRule type="expression" dxfId="37" priority="3" stopIfTrue="1">
      <formula>IF(AND(LEN($A6)&gt;0,$A6&lt;&gt;$F6),TRUE,FALSE)</formula>
    </cfRule>
  </conditionalFormatting>
  <conditionalFormatting sqref="A18">
    <cfRule type="expression" dxfId="36" priority="1" stopIfTrue="1">
      <formula>IF(AND(LEN($A18)&gt;0,$A18&lt;&gt;$F18),TRUE,FALSE)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Qualitek Internatioanl,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Jill Saleda-Layton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rdlab@qualitek.com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630-628-8083 x105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Charlie Han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charlie@leadfreeassembly.com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630-628-8083 x101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43238</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www.qualitek.com</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35" priority="337" stopIfTrue="1">
      <formula>IF(F62=0,TRUE)</formula>
    </cfRule>
  </conditionalFormatting>
  <conditionalFormatting sqref="A5:A13">
    <cfRule type="expression" dxfId="34" priority="45" stopIfTrue="1">
      <formula>$F5=0</formula>
    </cfRule>
    <cfRule type="expression" dxfId="33" priority="46" stopIfTrue="1">
      <formula>AND($F5=1,$G5=0)</formula>
    </cfRule>
    <cfRule type="expression" dxfId="32" priority="47" stopIfTrue="1">
      <formula>AND($F5&lt;&gt;0,$G5&lt;&gt;0)</formula>
    </cfRule>
  </conditionalFormatting>
  <conditionalFormatting sqref="B61">
    <cfRule type="expression" dxfId="31" priority="43" stopIfTrue="1">
      <formula>$F61=0</formula>
    </cfRule>
  </conditionalFormatting>
  <conditionalFormatting sqref="D52">
    <cfRule type="expression" dxfId="30" priority="354" stopIfTrue="1">
      <formula>$H$52=0</formula>
    </cfRule>
  </conditionalFormatting>
  <conditionalFormatting sqref="B63">
    <cfRule type="expression" dxfId="29" priority="35" stopIfTrue="1">
      <formula>IF(F63=0,TRUE)</formula>
    </cfRule>
  </conditionalFormatting>
  <conditionalFormatting sqref="B64">
    <cfRule type="expression" dxfId="28" priority="31" stopIfTrue="1">
      <formula>IF(F64=0,TRUE)</formula>
    </cfRule>
  </conditionalFormatting>
  <conditionalFormatting sqref="B65:B66">
    <cfRule type="expression" dxfId="27" priority="27" stopIfTrue="1">
      <formula>IF(F65=0,TRUE)</formula>
    </cfRule>
  </conditionalFormatting>
  <conditionalFormatting sqref="C66">
    <cfRule type="expression" dxfId="26" priority="9" stopIfTrue="1">
      <formula>C66="Not Required"</formula>
    </cfRule>
    <cfRule type="expression" dxfId="25" priority="17" stopIfTrue="1">
      <formula>OR(C66="Complete",C66="填写", C66="記入",C66="완료",C66="Complétez",C66="Concluído",C66="Vollständig",C66="Completare",C66="Doldurun")</formula>
    </cfRule>
  </conditionalFormatting>
  <conditionalFormatting sqref="A66">
    <cfRule type="expression" dxfId="24" priority="10" stopIfTrue="1">
      <formula>C66="Not Required"</formula>
    </cfRule>
    <cfRule type="expression" dxfId="2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2" priority="343" stopIfTrue="1">
      <formula>$F4=0</formula>
    </cfRule>
    <cfRule type="expression" dxfId="21" priority="344" stopIfTrue="1">
      <formula>$H4=0</formula>
    </cfRule>
    <cfRule type="expression" dxfId="20" priority="345" stopIfTrue="1">
      <formula>$H4=1</formula>
    </cfRule>
  </conditionalFormatting>
  <conditionalFormatting sqref="C66 A66">
    <cfRule type="expression" dxfId="19" priority="7" stopIfTrue="1">
      <formula>IF(AND($F$66=1,$G$66=1),TRUE,FALSE)</formula>
    </cfRule>
  </conditionalFormatting>
  <conditionalFormatting sqref="A62:A65">
    <cfRule type="expression" dxfId="18" priority="4" stopIfTrue="1">
      <formula>$F62=0</formula>
    </cfRule>
    <cfRule type="expression" dxfId="17" priority="5" stopIfTrue="1">
      <formula>$H62=0</formula>
    </cfRule>
    <cfRule type="expression" dxfId="16" priority="6" stopIfTrue="1">
      <formula>$H62=1</formula>
    </cfRule>
  </conditionalFormatting>
  <conditionalFormatting sqref="C62:C65">
    <cfRule type="expression" dxfId="15" priority="1" stopIfTrue="1">
      <formula>$F62=0</formula>
    </cfRule>
    <cfRule type="expression" dxfId="14" priority="2" stopIfTrue="1">
      <formula>$H62=0</formula>
    </cfRule>
    <cfRule type="expression" dxfId="13"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1026</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3" t="str">
        <f ca="1">OFFSET(L!$C$1,MATCH("General"&amp;"Cpy",L!$A:$A,0)-1,SL,,)</f>
        <v>© 2018 Responsible Minerals Initiative. All rights reserved.</v>
      </c>
      <c r="C1001" s="443"/>
      <c r="D1001" s="44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2"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Jill Saleda</cp:lastModifiedBy>
  <cp:lastPrinted>2015-04-21T20:47:43Z</cp:lastPrinted>
  <dcterms:created xsi:type="dcterms:W3CDTF">2010-06-21T21:00:23Z</dcterms:created>
  <dcterms:modified xsi:type="dcterms:W3CDTF">2018-05-18T21:46:18Z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